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W:\2026\ПФХД\охрана\"/>
    </mc:Choice>
  </mc:AlternateContent>
  <bookViews>
    <workbookView xWindow="0" yWindow="0" windowWidth="38400" windowHeight="17400"/>
  </bookViews>
  <sheets>
    <sheet name="охр 1 норм" sheetId="4" r:id="rId1"/>
    <sheet name="охр_факт" sheetId="1" state="hidden" r:id="rId2"/>
    <sheet name="расч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  <c r="N20" i="4" l="1"/>
  <c r="C20" i="4"/>
  <c r="W19" i="4"/>
  <c r="U19" i="4"/>
  <c r="K19" i="4"/>
  <c r="M19" i="4" s="1"/>
  <c r="W18" i="4"/>
  <c r="U18" i="4"/>
  <c r="K18" i="4"/>
  <c r="M18" i="4" s="1"/>
  <c r="W17" i="4"/>
  <c r="U17" i="4"/>
  <c r="L17" i="4"/>
  <c r="M17" i="4" s="1"/>
  <c r="K17" i="4"/>
  <c r="W16" i="4"/>
  <c r="U16" i="4"/>
  <c r="L16" i="4"/>
  <c r="M16" i="4" s="1"/>
  <c r="K16" i="4"/>
  <c r="L15" i="4"/>
  <c r="M15" i="4" s="1"/>
  <c r="K15" i="4"/>
  <c r="L14" i="4"/>
  <c r="M14" i="4" s="1"/>
  <c r="K14" i="4"/>
  <c r="L13" i="4"/>
  <c r="M13" i="4" s="1"/>
  <c r="K13" i="4"/>
  <c r="L12" i="4"/>
  <c r="M12" i="4" s="1"/>
  <c r="K12" i="4"/>
  <c r="L11" i="4"/>
  <c r="M11" i="4" s="1"/>
  <c r="K11" i="4"/>
  <c r="S10" i="4"/>
  <c r="R10" i="4"/>
  <c r="Q10" i="4"/>
  <c r="L10" i="4"/>
  <c r="M10" i="4" s="1"/>
  <c r="K10" i="4"/>
  <c r="R9" i="4"/>
  <c r="Q9" i="4"/>
  <c r="O9" i="4"/>
  <c r="S9" i="4" s="1"/>
  <c r="L9" i="4"/>
  <c r="M9" i="4" s="1"/>
  <c r="K9" i="4"/>
  <c r="K20" i="4" s="1"/>
  <c r="B8" i="4"/>
  <c r="C8" i="4" s="1"/>
  <c r="D8" i="4" s="1"/>
  <c r="E8" i="4" s="1"/>
  <c r="F8" i="4" s="1"/>
  <c r="G8" i="4" s="1"/>
  <c r="H8" i="4" s="1"/>
  <c r="I8" i="4" s="1"/>
  <c r="J8" i="4" s="1"/>
  <c r="K8" i="4" s="1"/>
  <c r="L8" i="4" s="1"/>
  <c r="M8" i="4" s="1"/>
  <c r="N8" i="4" s="1"/>
  <c r="O8" i="4" s="1"/>
  <c r="P8" i="4" s="1"/>
  <c r="Q8" i="4" s="1"/>
  <c r="R8" i="4" s="1"/>
  <c r="S8" i="4" s="1"/>
  <c r="T8" i="4" s="1"/>
  <c r="U8" i="4" s="1"/>
  <c r="V8" i="4" s="1"/>
  <c r="W8" i="4" s="1"/>
  <c r="X8" i="4" s="1"/>
  <c r="F7" i="4"/>
  <c r="N6" i="4"/>
  <c r="P7" i="4" s="1"/>
  <c r="T11" i="1"/>
  <c r="T10" i="1"/>
  <c r="T9" i="1"/>
  <c r="J20" i="2"/>
  <c r="J19" i="2"/>
  <c r="J18" i="2"/>
  <c r="J21" i="2"/>
  <c r="T10" i="4" l="1"/>
  <c r="T9" i="4"/>
  <c r="V10" i="4"/>
  <c r="S20" i="4"/>
  <c r="U9" i="4"/>
  <c r="L20" i="4"/>
  <c r="V9" i="4"/>
  <c r="V20" i="4" s="1"/>
  <c r="W10" i="4" l="1"/>
  <c r="U10" i="4"/>
  <c r="W9" i="4"/>
  <c r="T20" i="4"/>
  <c r="W20" i="4" l="1"/>
  <c r="J15" i="2" l="1"/>
  <c r="R10" i="1" l="1"/>
  <c r="R12" i="1"/>
  <c r="V9" i="1"/>
  <c r="S12" i="1" l="1"/>
  <c r="Q12" i="1"/>
  <c r="V12" i="1" s="1"/>
  <c r="S11" i="1"/>
  <c r="R11" i="1"/>
  <c r="Q11" i="1"/>
  <c r="O11" i="1"/>
  <c r="Q10" i="1"/>
  <c r="S10" i="1"/>
  <c r="Q9" i="1"/>
  <c r="R9" i="1"/>
  <c r="L10" i="1"/>
  <c r="L11" i="1"/>
  <c r="L12" i="1"/>
  <c r="L13" i="1"/>
  <c r="M13" i="1" s="1"/>
  <c r="L14" i="1"/>
  <c r="L15" i="1"/>
  <c r="K13" i="1"/>
  <c r="K14" i="1"/>
  <c r="K15" i="1"/>
  <c r="K12" i="1"/>
  <c r="K11" i="1"/>
  <c r="M11" i="1" s="1"/>
  <c r="U11" i="1" l="1"/>
  <c r="W12" i="1"/>
  <c r="V11" i="1"/>
  <c r="W11" i="1" s="1"/>
  <c r="U12" i="1"/>
  <c r="M14" i="1"/>
  <c r="M12" i="1"/>
  <c r="M15" i="1"/>
  <c r="W18" i="1" l="1"/>
  <c r="U18" i="1"/>
  <c r="K18" i="1"/>
  <c r="M18" i="1" s="1"/>
  <c r="F18" i="2" l="1"/>
  <c r="N17" i="2"/>
  <c r="M17" i="2"/>
  <c r="O17" i="2" s="1"/>
  <c r="J17" i="2"/>
  <c r="N16" i="2"/>
  <c r="M16" i="2"/>
  <c r="O16" i="2" s="1"/>
  <c r="J16" i="2"/>
  <c r="N15" i="2"/>
  <c r="O15" i="2" s="1"/>
  <c r="M15" i="2"/>
  <c r="N14" i="2"/>
  <c r="M14" i="2"/>
  <c r="O14" i="2" s="1"/>
  <c r="J14" i="2"/>
  <c r="N13" i="2"/>
  <c r="M13" i="2"/>
  <c r="O13" i="2" s="1"/>
  <c r="J13" i="2"/>
  <c r="N12" i="2"/>
  <c r="M12" i="2"/>
  <c r="O12" i="2" s="1"/>
  <c r="J12" i="2"/>
  <c r="O11" i="2"/>
  <c r="N11" i="2"/>
  <c r="M11" i="2"/>
  <c r="J11" i="2"/>
  <c r="N10" i="2"/>
  <c r="M10" i="2"/>
  <c r="O10" i="2" s="1"/>
  <c r="J10" i="2"/>
  <c r="N9" i="2"/>
  <c r="M9" i="2"/>
  <c r="O9" i="2" s="1"/>
  <c r="J9" i="2"/>
  <c r="N8" i="2"/>
  <c r="M8" i="2"/>
  <c r="O8" i="2" s="1"/>
  <c r="J8" i="2"/>
  <c r="N7" i="2"/>
  <c r="O7" i="2" s="1"/>
  <c r="M7" i="2"/>
  <c r="J7" i="2"/>
  <c r="N6" i="2"/>
  <c r="M6" i="2"/>
  <c r="J6" i="2"/>
  <c r="N5" i="2"/>
  <c r="M5" i="2"/>
  <c r="O5" i="2" s="1"/>
  <c r="J5" i="2"/>
  <c r="N4" i="2"/>
  <c r="N18" i="2" s="1"/>
  <c r="M4" i="2"/>
  <c r="M18" i="2" s="1"/>
  <c r="J4" i="2"/>
  <c r="N20" i="1"/>
  <c r="C20" i="1"/>
  <c r="W19" i="1"/>
  <c r="U19" i="1"/>
  <c r="K19" i="1"/>
  <c r="M19" i="1" s="1"/>
  <c r="W17" i="1"/>
  <c r="U17" i="1"/>
  <c r="K17" i="1"/>
  <c r="W16" i="1"/>
  <c r="U16" i="1"/>
  <c r="K16" i="1"/>
  <c r="K20" i="1" s="1"/>
  <c r="L16" i="1"/>
  <c r="K10" i="1"/>
  <c r="M10" i="1" s="1"/>
  <c r="O9" i="1"/>
  <c r="S9" i="1" s="1"/>
  <c r="L9" i="1"/>
  <c r="K9" i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F7" i="1"/>
  <c r="N6" i="1"/>
  <c r="P7" i="1" s="1"/>
  <c r="O6" i="2" l="1"/>
  <c r="V10" i="1"/>
  <c r="W10" i="1" s="1"/>
  <c r="M16" i="1"/>
  <c r="O4" i="2"/>
  <c r="O18" i="2" s="1"/>
  <c r="S20" i="1"/>
  <c r="U10" i="1"/>
  <c r="T20" i="1"/>
  <c r="U9" i="1"/>
  <c r="M9" i="1"/>
  <c r="L17" i="1"/>
  <c r="M17" i="1" s="1"/>
  <c r="V20" i="1" l="1"/>
  <c r="W9" i="1"/>
  <c r="W20" i="1" s="1"/>
  <c r="L20" i="1"/>
</calcChain>
</file>

<file path=xl/sharedStrings.xml><?xml version="1.0" encoding="utf-8"?>
<sst xmlns="http://schemas.openxmlformats.org/spreadsheetml/2006/main" count="119" uniqueCount="59">
  <si>
    <t>Приложение 21.2</t>
  </si>
  <si>
    <t xml:space="preserve">Информация об организации постов физической охраны в образовательных учреждениях Санкт-Петербурга </t>
  </si>
  <si>
    <t>Код целевой статьи</t>
  </si>
  <si>
    <t>Наименование целевой статьи</t>
  </si>
  <si>
    <t>Общее количество часов в год в соответствии с заключенными  контрактами (договорами), час.*</t>
  </si>
  <si>
    <t>Общая сумма в соответствии с заключенными контрактами (договорами), тыс.руб.</t>
  </si>
  <si>
    <t>Средняя стоимость
 1 часа, руб.</t>
  </si>
  <si>
    <t xml:space="preserve">Общее количество часов в год, планируемое на физическую охрану, час.* </t>
  </si>
  <si>
    <t>Сумма потребности на физическую охрану, тыс.руб.</t>
  </si>
  <si>
    <t xml:space="preserve">Предусмотрено ассигнований на физическую охрану в пределах  заявки ГРБС к проекту бюджета, тыс.руб. </t>
  </si>
  <si>
    <t>Объем дополнительных средств, необходимый для обеспечения физической охраны объектов (территорий), тыс.руб.</t>
  </si>
  <si>
    <t>Примечание**</t>
  </si>
  <si>
    <t>Субсидии государственным профессиональным образовательным организациям на финансовое обеспечение выполнения государственного задания</t>
  </si>
  <si>
    <t>х</t>
  </si>
  <si>
    <t xml:space="preserve">Примечание: </t>
  </si>
  <si>
    <t>*Годовое количество часов на 1 пост не может превышать 8760/8784 часов (365/366 дней*24 часа);</t>
  </si>
  <si>
    <t>**Указать причины, по которым договор на физическую охрану заключен менее, чем на 12 месяцев, а также отразить информацию (сумму) в случае финансирования расходов на физ. охрану за счёт средств ПД или иных источников.</t>
  </si>
  <si>
    <t>(уполномоченное лицо)             (должность)             (подпись)          (расшифровка подписи)</t>
  </si>
  <si>
    <t xml:space="preserve">                                                                 (должность)       (ФИО)           (телефон)</t>
  </si>
  <si>
    <t>2025 год</t>
  </si>
  <si>
    <t>РНК</t>
  </si>
  <si>
    <t>0250020960</t>
  </si>
  <si>
    <t>Цена 1 часа день, руб.</t>
  </si>
  <si>
    <t>Цена 1 часа ночь, руб.</t>
  </si>
  <si>
    <r>
      <t xml:space="preserve">Количество часов работы поста в дневное время (с 6 часов до 22 часов) </t>
    </r>
    <r>
      <rPr>
        <u/>
        <sz val="13"/>
        <color theme="1"/>
        <rFont val="Times New Roman"/>
        <family val="1"/>
        <charset val="204"/>
      </rPr>
      <t>в сутки</t>
    </r>
  </si>
  <si>
    <r>
      <t xml:space="preserve">Количество часов работы поста в ночное время (с 22 часов до 6 часов) </t>
    </r>
    <r>
      <rPr>
        <u/>
        <sz val="13"/>
        <color theme="1"/>
        <rFont val="Times New Roman"/>
        <family val="1"/>
        <charset val="204"/>
      </rPr>
      <t>в сутки</t>
    </r>
  </si>
  <si>
    <t>Количество постов, в которых будет осуществляться физическая охрана</t>
  </si>
  <si>
    <t>Количество постов, в которых осуществляется физическая охрана в соответствии с заключенными контрактами (договорами)</t>
  </si>
  <si>
    <t>Количество часов работы поста охраны в соответствии с заключенными контрактами (договорами), например, 24 час., 12 час. и т.п.</t>
  </si>
  <si>
    <t>Планируемое количество часов работы поста охраны, например, 24 час., 12 час. и т.п.</t>
  </si>
  <si>
    <t xml:space="preserve">2780503024024000164 </t>
  </si>
  <si>
    <t>2780503024024000164</t>
  </si>
  <si>
    <t>На размещении</t>
  </si>
  <si>
    <r>
      <t xml:space="preserve">Наименование учреждения </t>
    </r>
    <r>
      <rPr>
        <b/>
        <u/>
        <sz val="16"/>
        <color theme="1"/>
        <rFont val="Times New Roman"/>
        <family val="1"/>
        <charset val="204"/>
      </rPr>
      <t xml:space="preserve"> СПб ГБПОУ "Петровский колледж"</t>
    </r>
  </si>
  <si>
    <t>Расчет произведен с учетом данных о  финансирования на охрану за час охраны день 361 р, и ночь 399 р., вместе с тем стоимость часа охраны, согласно Приказа №45 Росгвардии, для обоснования  НМЦК составляет 944.47 руб./час., При принятии во внимание положений Приказа №45 Росгвардии объем дополнительных средств необходим в объеме 49035,38 тыс. руб.</t>
  </si>
  <si>
    <t>Директор</t>
  </si>
  <si>
    <t>Е.В. Васина</t>
  </si>
  <si>
    <t>Заместитель директора по закупкам</t>
  </si>
  <si>
    <t>А.С. Захаров 645-40-13</t>
  </si>
  <si>
    <t>новые на 2026</t>
  </si>
  <si>
    <t>часов</t>
  </si>
  <si>
    <t>день</t>
  </si>
  <si>
    <t>ночь</t>
  </si>
  <si>
    <t xml:space="preserve">(учебный корпус №1) </t>
  </si>
  <si>
    <t>ул. Балтийская д. 35 лит.А</t>
  </si>
  <si>
    <t xml:space="preserve">(учебно-производственные мастерские  </t>
  </si>
  <si>
    <t xml:space="preserve"> корпус №2) Охотничий пер. д. 7 лит.А</t>
  </si>
  <si>
    <t xml:space="preserve">(общежитие корпус № 3) </t>
  </si>
  <si>
    <t xml:space="preserve"> ул. Балийская д.26 лит.А</t>
  </si>
  <si>
    <t xml:space="preserve">(учебный корпус №4) </t>
  </si>
  <si>
    <t xml:space="preserve"> ул.Швецова д.22 лит.А</t>
  </si>
  <si>
    <t>(учебный корпус №5)</t>
  </si>
  <si>
    <t>ул. Курляндская  д.39 лит.Б,В,Д.</t>
  </si>
  <si>
    <t xml:space="preserve">(учебный корпус №6) </t>
  </si>
  <si>
    <t>ул. Моховая д.6 лит.А</t>
  </si>
  <si>
    <t>2780503024025000266</t>
  </si>
  <si>
    <t>1705925E00123</t>
  </si>
  <si>
    <t>1705925E00122</t>
  </si>
  <si>
    <t>1705925E00124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</si>
</sst>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#,##0.0"/>
    <numFmt numFmtId="166" formatCode="0.0"/>
    <numFmt numFmtId="167" formatCode="#,##0.00_ ;\-#,##0.00\ "/>
    <numFmt numFmtId="168" formatCode="#,##0.0_ ;\-#,##0.0\ "/>
    <numFmt numFmtId="169" formatCode="#,##0_ ;\-#,##0\ "/>
    <numFmt numFmtId="170" formatCode="_-* #,##0.000000\ _₽_-;\-* #,##0.0000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3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6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Alignment="1">
      <alignment horizontal="right" wrapText="1"/>
    </xf>
    <xf numFmtId="0" fontId="5" fillId="0" borderId="0" xfId="1" applyFont="1" applyAlignment="1"/>
    <xf numFmtId="0" fontId="1" fillId="0" borderId="0" xfId="1"/>
    <xf numFmtId="0" fontId="5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1" fillId="0" borderId="0" xfId="1" applyFill="1"/>
    <xf numFmtId="0" fontId="8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5" fillId="0" borderId="0" xfId="1" applyFont="1" applyAlignment="1">
      <alignment horizontal="center"/>
    </xf>
    <xf numFmtId="0" fontId="1" fillId="0" borderId="0" xfId="1" applyFont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0" xfId="1" applyFont="1" applyAlignment="1">
      <alignment wrapText="1"/>
    </xf>
    <xf numFmtId="0" fontId="1" fillId="0" borderId="0" xfId="1" applyAlignment="1">
      <alignment wrapText="1"/>
    </xf>
    <xf numFmtId="0" fontId="11" fillId="0" borderId="0" xfId="1" applyFont="1" applyAlignment="1"/>
    <xf numFmtId="0" fontId="11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1" fillId="0" borderId="8" xfId="1" applyFont="1" applyBorder="1" applyAlignment="1"/>
    <xf numFmtId="0" fontId="9" fillId="0" borderId="0" xfId="1" applyFont="1"/>
    <xf numFmtId="0" fontId="15" fillId="0" borderId="0" xfId="1" applyFont="1"/>
    <xf numFmtId="0" fontId="11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2" fontId="7" fillId="0" borderId="1" xfId="1" applyNumberFormat="1" applyFont="1" applyBorder="1" applyAlignment="1">
      <alignment horizontal="center" vertical="center" wrapText="1"/>
    </xf>
    <xf numFmtId="0" fontId="11" fillId="0" borderId="0" xfId="1" applyFont="1" applyBorder="1" applyAlignment="1"/>
    <xf numFmtId="166" fontId="11" fillId="0" borderId="1" xfId="1" applyNumberFormat="1" applyFont="1" applyBorder="1" applyAlignment="1">
      <alignment horizontal="center" vertical="center"/>
    </xf>
    <xf numFmtId="167" fontId="4" fillId="0" borderId="1" xfId="2" applyNumberFormat="1" applyFont="1" applyBorder="1" applyAlignment="1">
      <alignment horizontal="center" vertical="center"/>
    </xf>
    <xf numFmtId="168" fontId="4" fillId="0" borderId="1" xfId="2" applyNumberFormat="1" applyFont="1" applyBorder="1" applyAlignment="1">
      <alignment horizontal="center" vertical="center"/>
    </xf>
    <xf numFmtId="169" fontId="4" fillId="0" borderId="1" xfId="2" applyNumberFormat="1" applyFont="1" applyBorder="1" applyAlignment="1">
      <alignment horizontal="center" vertical="center"/>
    </xf>
    <xf numFmtId="0" fontId="4" fillId="0" borderId="0" xfId="1" applyFont="1" applyAlignment="1"/>
    <xf numFmtId="0" fontId="9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/>
    </xf>
    <xf numFmtId="165" fontId="11" fillId="3" borderId="1" xfId="1" applyNumberFormat="1" applyFont="1" applyFill="1" applyBorder="1" applyAlignment="1">
      <alignment horizontal="center" vertical="center"/>
    </xf>
    <xf numFmtId="165" fontId="11" fillId="3" borderId="1" xfId="1" applyNumberFormat="1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center" vertical="center"/>
    </xf>
    <xf numFmtId="49" fontId="11" fillId="3" borderId="1" xfId="1" applyNumberFormat="1" applyFont="1" applyFill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/>
    </xf>
    <xf numFmtId="164" fontId="1" fillId="0" borderId="0" xfId="2" applyFont="1" applyAlignment="1">
      <alignment wrapText="1"/>
    </xf>
    <xf numFmtId="0" fontId="18" fillId="0" borderId="0" xfId="1" applyFont="1" applyAlignment="1">
      <alignment horizontal="left"/>
    </xf>
    <xf numFmtId="0" fontId="18" fillId="0" borderId="0" xfId="1" applyFont="1"/>
    <xf numFmtId="164" fontId="19" fillId="0" borderId="0" xfId="2" applyFont="1"/>
    <xf numFmtId="164" fontId="19" fillId="0" borderId="0" xfId="1" applyNumberFormat="1" applyFont="1"/>
    <xf numFmtId="170" fontId="19" fillId="0" borderId="0" xfId="1" applyNumberFormat="1" applyFont="1"/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vertical="center" wrapText="1"/>
      <protection locked="0"/>
    </xf>
    <xf numFmtId="4" fontId="0" fillId="0" borderId="0" xfId="0" applyNumberFormat="1"/>
    <xf numFmtId="0" fontId="12" fillId="4" borderId="0" xfId="0" applyFont="1" applyFill="1" applyBorder="1" applyAlignment="1" applyProtection="1">
      <alignment vertical="center" wrapText="1"/>
      <protection locked="0"/>
    </xf>
    <xf numFmtId="2" fontId="7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2" fontId="11" fillId="0" borderId="1" xfId="1" applyNumberFormat="1" applyFont="1" applyBorder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2" fillId="3" borderId="0" xfId="1" applyFont="1" applyFill="1" applyAlignment="1">
      <alignment horizontal="center"/>
    </xf>
    <xf numFmtId="2" fontId="7" fillId="0" borderId="1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</cellXfs>
  <cellStyles count="3">
    <cellStyle name="Обычный" xfId="0" builtinId="0"/>
    <cellStyle name="Обычный 2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zoomScale="59" zoomScaleNormal="59" workbookViewId="0">
      <selection activeCell="H43" sqref="H43"/>
    </sheetView>
  </sheetViews>
  <sheetFormatPr defaultColWidth="8.85546875" defaultRowHeight="15.75" x14ac:dyDescent="0.25"/>
  <cols>
    <col min="1" max="1" width="17.140625" style="5" customWidth="1"/>
    <col min="2" max="2" width="31" style="34" customWidth="1"/>
    <col min="3" max="3" width="17.28515625" style="5" customWidth="1"/>
    <col min="4" max="4" width="19.7109375" style="5" customWidth="1"/>
    <col min="5" max="5" width="29.140625" style="5" customWidth="1"/>
    <col min="6" max="10" width="17.28515625" style="5" customWidth="1"/>
    <col min="11" max="11" width="19.7109375" style="5" customWidth="1"/>
    <col min="12" max="12" width="21" style="5" customWidth="1"/>
    <col min="13" max="13" width="18.85546875" style="5" customWidth="1"/>
    <col min="14" max="14" width="26.28515625" style="5" customWidth="1"/>
    <col min="15" max="15" width="19.7109375" style="5" customWidth="1"/>
    <col min="16" max="18" width="18" style="5" customWidth="1"/>
    <col min="19" max="19" width="15.7109375" style="5" customWidth="1"/>
    <col min="20" max="20" width="18.140625" style="5" customWidth="1"/>
    <col min="21" max="21" width="21.28515625" style="5" customWidth="1"/>
    <col min="22" max="22" width="17.7109375" style="25" customWidth="1"/>
    <col min="23" max="23" width="19.28515625" style="25" customWidth="1"/>
    <col min="24" max="24" width="40.140625" style="26" customWidth="1"/>
    <col min="25" max="16384" width="8.85546875" style="5"/>
  </cols>
  <sheetData>
    <row r="1" spans="1:33" ht="20.25" x14ac:dyDescent="0.3">
      <c r="A1" s="75"/>
      <c r="B1" s="7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3" t="s">
        <v>0</v>
      </c>
      <c r="Y1" s="4"/>
      <c r="Z1" s="4"/>
      <c r="AA1" s="4"/>
      <c r="AB1" s="4"/>
      <c r="AC1" s="4"/>
      <c r="AD1" s="4"/>
      <c r="AE1" s="4"/>
      <c r="AF1" s="4"/>
      <c r="AG1" s="4"/>
    </row>
    <row r="2" spans="1:33" ht="20.25" x14ac:dyDescent="0.3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 spans="1:33" ht="20.25" x14ac:dyDescent="0.3">
      <c r="A3" s="63"/>
      <c r="B3" s="6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7"/>
      <c r="W3" s="7"/>
      <c r="X3" s="8"/>
    </row>
    <row r="4" spans="1:33" s="9" customFormat="1" ht="20.25" x14ac:dyDescent="0.3">
      <c r="A4" s="77" t="s">
        <v>33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33" ht="20.25" x14ac:dyDescent="0.3">
      <c r="A5" s="63"/>
      <c r="B5" s="6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7"/>
      <c r="W5" s="7"/>
      <c r="X5" s="8"/>
    </row>
    <row r="6" spans="1:33" s="10" customFormat="1" ht="20.25" customHeight="1" x14ac:dyDescent="0.25">
      <c r="A6" s="78" t="s">
        <v>2</v>
      </c>
      <c r="B6" s="78" t="s">
        <v>3</v>
      </c>
      <c r="C6" s="79" t="s">
        <v>19</v>
      </c>
      <c r="D6" s="80"/>
      <c r="E6" s="80"/>
      <c r="F6" s="80"/>
      <c r="G6" s="80"/>
      <c r="H6" s="80"/>
      <c r="I6" s="80"/>
      <c r="J6" s="80"/>
      <c r="K6" s="80"/>
      <c r="L6" s="80"/>
      <c r="M6" s="81"/>
      <c r="N6" s="79" t="str">
        <f>CONCATENATE(LEFT(C6,4)+1," год")</f>
        <v>2026 год</v>
      </c>
      <c r="O6" s="80"/>
      <c r="P6" s="80"/>
      <c r="Q6" s="80"/>
      <c r="R6" s="80"/>
      <c r="S6" s="80"/>
      <c r="T6" s="80"/>
      <c r="U6" s="80"/>
      <c r="V6" s="80"/>
      <c r="W6" s="80"/>
      <c r="X6" s="81"/>
    </row>
    <row r="7" spans="1:33" s="10" customFormat="1" ht="165" x14ac:dyDescent="0.25">
      <c r="A7" s="78"/>
      <c r="B7" s="78"/>
      <c r="C7" s="62" t="s">
        <v>27</v>
      </c>
      <c r="D7" s="62" t="s">
        <v>28</v>
      </c>
      <c r="E7" s="62" t="s">
        <v>20</v>
      </c>
      <c r="F7" s="62" t="str">
        <f>CONCATENATE("Количество дней работы поста в ",C6,"у по контракту")</f>
        <v>Количество дней работы поста в 2025 году по контракту</v>
      </c>
      <c r="G7" s="62" t="s">
        <v>24</v>
      </c>
      <c r="H7" s="62" t="s">
        <v>25</v>
      </c>
      <c r="I7" s="62" t="s">
        <v>22</v>
      </c>
      <c r="J7" s="62" t="s">
        <v>23</v>
      </c>
      <c r="K7" s="62" t="s">
        <v>4</v>
      </c>
      <c r="L7" s="62" t="s">
        <v>5</v>
      </c>
      <c r="M7" s="62" t="s">
        <v>6</v>
      </c>
      <c r="N7" s="62" t="s">
        <v>26</v>
      </c>
      <c r="O7" s="62" t="s">
        <v>29</v>
      </c>
      <c r="P7" s="62" t="str">
        <f>CONCATENATE("Количество дней работы поста в ",N6,"у по плану")</f>
        <v>Количество дней работы поста в 2026 году по плану</v>
      </c>
      <c r="Q7" s="62" t="s">
        <v>24</v>
      </c>
      <c r="R7" s="62" t="s">
        <v>25</v>
      </c>
      <c r="S7" s="62" t="s">
        <v>7</v>
      </c>
      <c r="T7" s="62" t="s">
        <v>8</v>
      </c>
      <c r="U7" s="62" t="s">
        <v>6</v>
      </c>
      <c r="V7" s="62" t="s">
        <v>9</v>
      </c>
      <c r="W7" s="62" t="s">
        <v>10</v>
      </c>
      <c r="X7" s="62" t="s">
        <v>11</v>
      </c>
    </row>
    <row r="8" spans="1:33" s="13" customFormat="1" ht="15" x14ac:dyDescent="0.25">
      <c r="A8" s="11">
        <v>1</v>
      </c>
      <c r="B8" s="11">
        <f>A8+1</f>
        <v>2</v>
      </c>
      <c r="C8" s="11">
        <f>B8+1</f>
        <v>3</v>
      </c>
      <c r="D8" s="11">
        <f t="shared" ref="D8:L8" si="0">C8+1</f>
        <v>4</v>
      </c>
      <c r="E8" s="11">
        <f t="shared" si="0"/>
        <v>5</v>
      </c>
      <c r="F8" s="11">
        <f t="shared" si="0"/>
        <v>6</v>
      </c>
      <c r="G8" s="11">
        <f t="shared" si="0"/>
        <v>7</v>
      </c>
      <c r="H8" s="11">
        <f t="shared" si="0"/>
        <v>8</v>
      </c>
      <c r="I8" s="11">
        <f t="shared" si="0"/>
        <v>9</v>
      </c>
      <c r="J8" s="11">
        <f t="shared" si="0"/>
        <v>10</v>
      </c>
      <c r="K8" s="11">
        <f>J8+1</f>
        <v>11</v>
      </c>
      <c r="L8" s="11">
        <f t="shared" si="0"/>
        <v>12</v>
      </c>
      <c r="M8" s="44" t="str">
        <f>CONCATENATE(L8+1,"=гр.",L8,"/гр.",K8,"*1000")</f>
        <v>13=гр.12/гр.11*1000</v>
      </c>
      <c r="N8" s="12">
        <f>LEFT(M8,2)+1</f>
        <v>14</v>
      </c>
      <c r="O8" s="12">
        <f t="shared" ref="O8:T8" si="1">N8+1</f>
        <v>15</v>
      </c>
      <c r="P8" s="12">
        <f t="shared" si="1"/>
        <v>16</v>
      </c>
      <c r="Q8" s="12">
        <f t="shared" si="1"/>
        <v>17</v>
      </c>
      <c r="R8" s="12">
        <f t="shared" si="1"/>
        <v>18</v>
      </c>
      <c r="S8" s="12">
        <f t="shared" si="1"/>
        <v>19</v>
      </c>
      <c r="T8" s="12">
        <f t="shared" si="1"/>
        <v>20</v>
      </c>
      <c r="U8" s="44" t="str">
        <f>CONCATENATE(T8+1,"=гр.",T8,"/гр.",S8,"*1000")</f>
        <v>21=гр.20/гр.19*1000</v>
      </c>
      <c r="V8" s="11">
        <f>LEFT(U8,2)+1</f>
        <v>22</v>
      </c>
      <c r="W8" s="44" t="str">
        <f>CONCATENATE(V8+1,"=гр.",T8,"-гр.",V8)</f>
        <v>23=гр.20-гр.22</v>
      </c>
      <c r="X8" s="11">
        <f>LEFT(W8,2)+1</f>
        <v>24</v>
      </c>
    </row>
    <row r="9" spans="1:33" s="14" customFormat="1" ht="46.5" customHeight="1" x14ac:dyDescent="0.25">
      <c r="A9" s="65" t="s">
        <v>21</v>
      </c>
      <c r="B9" s="67" t="s">
        <v>12</v>
      </c>
      <c r="C9" s="45">
        <v>12</v>
      </c>
      <c r="D9" s="35">
        <v>24</v>
      </c>
      <c r="E9" s="49" t="s">
        <v>30</v>
      </c>
      <c r="F9" s="45">
        <v>181</v>
      </c>
      <c r="G9" s="45">
        <v>16</v>
      </c>
      <c r="H9" s="45">
        <v>8</v>
      </c>
      <c r="I9" s="45">
        <v>285</v>
      </c>
      <c r="J9" s="45">
        <v>315</v>
      </c>
      <c r="K9" s="50">
        <f>C9*D9*F9</f>
        <v>52128</v>
      </c>
      <c r="L9" s="48">
        <f>(G9*I9*C9*F9+C9*F9*H9*J9)/1000</f>
        <v>15377.76</v>
      </c>
      <c r="M9" s="51">
        <f>L9/K9*1000</f>
        <v>295</v>
      </c>
      <c r="N9" s="45">
        <v>12</v>
      </c>
      <c r="O9" s="35">
        <f>D9</f>
        <v>24</v>
      </c>
      <c r="P9" s="45">
        <v>365</v>
      </c>
      <c r="Q9" s="45">
        <f>N9*16*P9</f>
        <v>70080</v>
      </c>
      <c r="R9" s="45">
        <f>N9*P9*8</f>
        <v>35040</v>
      </c>
      <c r="S9" s="35">
        <f>O9*P9*N9</f>
        <v>105120</v>
      </c>
      <c r="T9" s="46">
        <f>(Q9*361+R9*399)/1000</f>
        <v>39279.839999999997</v>
      </c>
      <c r="U9" s="64">
        <f>T9/S9*1000</f>
        <v>373.66666666666663</v>
      </c>
      <c r="V9" s="47">
        <f>(Q9*361+R9*399)/1000</f>
        <v>39279.839999999997</v>
      </c>
      <c r="W9" s="39">
        <f>T9-V9</f>
        <v>0</v>
      </c>
      <c r="X9" s="69"/>
    </row>
    <row r="10" spans="1:33" s="14" customFormat="1" ht="46.5" customHeight="1" x14ac:dyDescent="0.25">
      <c r="A10" s="66"/>
      <c r="B10" s="68"/>
      <c r="C10" s="45">
        <v>2</v>
      </c>
      <c r="D10" s="35">
        <v>3</v>
      </c>
      <c r="E10" s="49" t="s">
        <v>31</v>
      </c>
      <c r="F10" s="45">
        <v>181</v>
      </c>
      <c r="G10" s="45"/>
      <c r="H10" s="45">
        <v>3</v>
      </c>
      <c r="I10" s="45">
        <v>285</v>
      </c>
      <c r="J10" s="45">
        <v>315</v>
      </c>
      <c r="K10" s="51">
        <f>C10*D10*F10</f>
        <v>1086</v>
      </c>
      <c r="L10" s="48">
        <f t="shared" ref="L10:L15" si="2">(G10*I10*C10*F10+C10*F10*H10*J10)/1000</f>
        <v>342.09</v>
      </c>
      <c r="M10" s="51">
        <f t="shared" ref="M10:M19" si="3">L10/K10*1000</f>
        <v>315</v>
      </c>
      <c r="N10" s="45">
        <v>2</v>
      </c>
      <c r="O10" s="35">
        <v>4</v>
      </c>
      <c r="P10" s="45">
        <v>365</v>
      </c>
      <c r="Q10" s="45">
        <f>N10*0*P10</f>
        <v>0</v>
      </c>
      <c r="R10" s="45">
        <f>N10*4*P10</f>
        <v>2920</v>
      </c>
      <c r="S10" s="35">
        <f>O10*P10*N10</f>
        <v>2920</v>
      </c>
      <c r="T10" s="46">
        <f>(Q10*361+R10*399)/1000</f>
        <v>1165.08</v>
      </c>
      <c r="U10" s="64">
        <f t="shared" ref="U10:U19" si="4">T10/S10*1000</f>
        <v>398.99999999999994</v>
      </c>
      <c r="V10" s="47">
        <f>(Q10*361+R10*399)/1000</f>
        <v>1165.08</v>
      </c>
      <c r="W10" s="39">
        <f>T10-V10</f>
        <v>0</v>
      </c>
      <c r="X10" s="70"/>
    </row>
    <row r="11" spans="1:33" s="14" customFormat="1" ht="46.5" customHeight="1" x14ac:dyDescent="0.25">
      <c r="A11" s="66"/>
      <c r="B11" s="68"/>
      <c r="C11" s="45">
        <v>4</v>
      </c>
      <c r="D11" s="35">
        <v>24</v>
      </c>
      <c r="E11" s="49" t="s">
        <v>58</v>
      </c>
      <c r="F11" s="45">
        <v>14</v>
      </c>
      <c r="G11" s="45">
        <v>16</v>
      </c>
      <c r="H11" s="45">
        <v>8</v>
      </c>
      <c r="I11" s="45">
        <v>327.57</v>
      </c>
      <c r="J11" s="45">
        <v>362.1</v>
      </c>
      <c r="K11" s="51">
        <f t="shared" ref="K11:K15" si="5">C11*D11*F11</f>
        <v>1344</v>
      </c>
      <c r="L11" s="48">
        <f t="shared" si="2"/>
        <v>455.72352000000001</v>
      </c>
      <c r="M11" s="51">
        <f t="shared" si="3"/>
        <v>339.08</v>
      </c>
      <c r="N11" s="45"/>
      <c r="O11" s="35"/>
      <c r="P11" s="45"/>
      <c r="Q11" s="45"/>
      <c r="R11" s="45"/>
      <c r="S11" s="35"/>
      <c r="T11" s="46"/>
      <c r="U11" s="64"/>
      <c r="V11" s="47"/>
      <c r="W11" s="39"/>
      <c r="X11" s="70"/>
    </row>
    <row r="12" spans="1:33" s="14" customFormat="1" ht="46.5" customHeight="1" x14ac:dyDescent="0.25">
      <c r="A12" s="66"/>
      <c r="B12" s="68"/>
      <c r="C12" s="45">
        <v>1</v>
      </c>
      <c r="D12" s="35">
        <v>8</v>
      </c>
      <c r="E12" s="49" t="s">
        <v>58</v>
      </c>
      <c r="F12" s="45">
        <v>14</v>
      </c>
      <c r="G12" s="45"/>
      <c r="H12" s="45">
        <v>8</v>
      </c>
      <c r="I12" s="45">
        <v>327.57</v>
      </c>
      <c r="J12" s="45">
        <v>362.1</v>
      </c>
      <c r="K12" s="51">
        <f t="shared" si="5"/>
        <v>112</v>
      </c>
      <c r="L12" s="48">
        <f t="shared" si="2"/>
        <v>40.555200000000006</v>
      </c>
      <c r="M12" s="51">
        <f t="shared" si="3"/>
        <v>362.1</v>
      </c>
      <c r="N12" s="45"/>
      <c r="O12" s="35"/>
      <c r="P12" s="45"/>
      <c r="Q12" s="45"/>
      <c r="R12" s="45"/>
      <c r="S12" s="35"/>
      <c r="T12" s="46"/>
      <c r="U12" s="64"/>
      <c r="V12" s="47"/>
      <c r="W12" s="39"/>
      <c r="X12" s="70"/>
    </row>
    <row r="13" spans="1:33" s="14" customFormat="1" ht="46.5" customHeight="1" x14ac:dyDescent="0.25">
      <c r="A13" s="66"/>
      <c r="B13" s="68"/>
      <c r="C13" s="45">
        <v>4</v>
      </c>
      <c r="D13" s="35">
        <v>24</v>
      </c>
      <c r="E13" s="49" t="s">
        <v>56</v>
      </c>
      <c r="F13" s="45">
        <v>14</v>
      </c>
      <c r="G13" s="45">
        <v>16</v>
      </c>
      <c r="H13" s="45">
        <v>8</v>
      </c>
      <c r="I13" s="45">
        <v>327.57</v>
      </c>
      <c r="J13" s="45">
        <v>362.1</v>
      </c>
      <c r="K13" s="51">
        <f>C13*D13*F13</f>
        <v>1344</v>
      </c>
      <c r="L13" s="48">
        <f t="shared" si="2"/>
        <v>455.72352000000001</v>
      </c>
      <c r="M13" s="51">
        <f t="shared" si="3"/>
        <v>339.08</v>
      </c>
      <c r="N13" s="45"/>
      <c r="O13" s="35"/>
      <c r="P13" s="45"/>
      <c r="Q13" s="45"/>
      <c r="R13" s="45"/>
      <c r="S13" s="35"/>
      <c r="T13" s="46"/>
      <c r="U13" s="64"/>
      <c r="V13" s="47"/>
      <c r="W13" s="39"/>
      <c r="X13" s="70"/>
    </row>
    <row r="14" spans="1:33" s="14" customFormat="1" ht="46.5" customHeight="1" x14ac:dyDescent="0.25">
      <c r="A14" s="66"/>
      <c r="B14" s="68"/>
      <c r="C14" s="45">
        <v>1</v>
      </c>
      <c r="D14" s="35">
        <v>8</v>
      </c>
      <c r="E14" s="49" t="s">
        <v>56</v>
      </c>
      <c r="F14" s="45">
        <v>14</v>
      </c>
      <c r="G14" s="45"/>
      <c r="H14" s="45">
        <v>8</v>
      </c>
      <c r="I14" s="45">
        <v>327.57</v>
      </c>
      <c r="J14" s="45">
        <v>362.1</v>
      </c>
      <c r="K14" s="51">
        <f>C14*D14*F14</f>
        <v>112</v>
      </c>
      <c r="L14" s="48">
        <f t="shared" si="2"/>
        <v>40.555200000000006</v>
      </c>
      <c r="M14" s="51">
        <f t="shared" si="3"/>
        <v>362.1</v>
      </c>
      <c r="N14" s="45"/>
      <c r="O14" s="35"/>
      <c r="P14" s="45"/>
      <c r="Q14" s="45"/>
      <c r="R14" s="45"/>
      <c r="S14" s="35"/>
      <c r="T14" s="46"/>
      <c r="U14" s="35"/>
      <c r="V14" s="47"/>
      <c r="W14" s="39"/>
      <c r="X14" s="70"/>
    </row>
    <row r="15" spans="1:33" s="14" customFormat="1" ht="46.5" customHeight="1" x14ac:dyDescent="0.25">
      <c r="A15" s="66"/>
      <c r="B15" s="68"/>
      <c r="C15" s="45">
        <v>4</v>
      </c>
      <c r="D15" s="35">
        <v>24</v>
      </c>
      <c r="E15" s="49" t="s">
        <v>57</v>
      </c>
      <c r="F15" s="45">
        <v>14</v>
      </c>
      <c r="G15" s="45">
        <v>16</v>
      </c>
      <c r="H15" s="45">
        <v>8</v>
      </c>
      <c r="I15" s="45">
        <v>327.57</v>
      </c>
      <c r="J15" s="45">
        <v>362.1</v>
      </c>
      <c r="K15" s="51">
        <f t="shared" si="5"/>
        <v>1344</v>
      </c>
      <c r="L15" s="48">
        <f t="shared" si="2"/>
        <v>455.72352000000001</v>
      </c>
      <c r="M15" s="51">
        <f t="shared" si="3"/>
        <v>339.08</v>
      </c>
      <c r="N15" s="45"/>
      <c r="O15" s="35"/>
      <c r="P15" s="45"/>
      <c r="Q15" s="45"/>
      <c r="R15" s="45"/>
      <c r="S15" s="35"/>
      <c r="T15" s="46"/>
      <c r="U15" s="35"/>
      <c r="V15" s="47"/>
      <c r="W15" s="39"/>
      <c r="X15" s="70"/>
    </row>
    <row r="16" spans="1:33" s="14" customFormat="1" ht="42.75" customHeight="1" x14ac:dyDescent="0.25">
      <c r="A16" s="66"/>
      <c r="B16" s="68"/>
      <c r="C16" s="45">
        <v>12</v>
      </c>
      <c r="D16" s="15">
        <v>24</v>
      </c>
      <c r="E16" s="49" t="s">
        <v>55</v>
      </c>
      <c r="F16" s="45">
        <v>170</v>
      </c>
      <c r="G16" s="45">
        <v>16</v>
      </c>
      <c r="H16" s="45">
        <v>8</v>
      </c>
      <c r="I16" s="45">
        <v>343.95</v>
      </c>
      <c r="J16" s="45">
        <v>380.21</v>
      </c>
      <c r="K16" s="51">
        <f>C16*D16*F16</f>
        <v>48960</v>
      </c>
      <c r="L16" s="48">
        <f>(G16*I16*C16*F16++C16*F16*H16*J16)/1000</f>
        <v>17431.555199999995</v>
      </c>
      <c r="M16" s="50">
        <f t="shared" si="3"/>
        <v>356.03666666666658</v>
      </c>
      <c r="N16" s="45"/>
      <c r="O16" s="35"/>
      <c r="P16" s="45"/>
      <c r="Q16" s="45"/>
      <c r="R16" s="45"/>
      <c r="S16" s="35"/>
      <c r="T16" s="46"/>
      <c r="U16" s="35" t="e">
        <f t="shared" si="4"/>
        <v>#DIV/0!</v>
      </c>
      <c r="V16" s="47"/>
      <c r="W16" s="39">
        <f t="shared" ref="W16:W19" si="6">T16-V16</f>
        <v>0</v>
      </c>
      <c r="X16" s="70"/>
    </row>
    <row r="17" spans="1:24" s="14" customFormat="1" ht="42.75" customHeight="1" x14ac:dyDescent="0.25">
      <c r="A17" s="66"/>
      <c r="B17" s="68"/>
      <c r="C17" s="45">
        <v>2</v>
      </c>
      <c r="D17" s="15">
        <v>8</v>
      </c>
      <c r="E17" s="49" t="s">
        <v>55</v>
      </c>
      <c r="F17" s="45">
        <v>170</v>
      </c>
      <c r="G17" s="45"/>
      <c r="H17" s="45">
        <v>8</v>
      </c>
      <c r="I17" s="45">
        <v>343.95</v>
      </c>
      <c r="J17" s="45">
        <v>380.21</v>
      </c>
      <c r="K17" s="51">
        <f>C17*D17*F17</f>
        <v>2720</v>
      </c>
      <c r="L17" s="48">
        <f>(G17*I17*C17*F17+C17*F17*H17*J17)/1000</f>
        <v>1034.1712</v>
      </c>
      <c r="M17" s="50">
        <f t="shared" si="3"/>
        <v>380.21</v>
      </c>
      <c r="N17" s="45"/>
      <c r="O17" s="35"/>
      <c r="P17" s="45"/>
      <c r="Q17" s="45"/>
      <c r="R17" s="45"/>
      <c r="S17" s="35"/>
      <c r="T17" s="46"/>
      <c r="U17" s="35" t="e">
        <f t="shared" si="4"/>
        <v>#DIV/0!</v>
      </c>
      <c r="V17" s="47"/>
      <c r="W17" s="39">
        <f t="shared" si="6"/>
        <v>0</v>
      </c>
      <c r="X17" s="70"/>
    </row>
    <row r="18" spans="1:24" s="14" customFormat="1" ht="42.75" customHeight="1" x14ac:dyDescent="0.25">
      <c r="A18" s="66"/>
      <c r="B18" s="68"/>
      <c r="C18" s="45"/>
      <c r="D18" s="15">
        <v>3</v>
      </c>
      <c r="E18" s="49" t="s">
        <v>32</v>
      </c>
      <c r="F18" s="45"/>
      <c r="G18" s="45"/>
      <c r="H18" s="45"/>
      <c r="I18" s="45"/>
      <c r="J18" s="45"/>
      <c r="K18" s="35">
        <f>C18*D18*F18</f>
        <v>0</v>
      </c>
      <c r="L18" s="45"/>
      <c r="M18" s="35" t="e">
        <f t="shared" si="3"/>
        <v>#DIV/0!</v>
      </c>
      <c r="N18" s="45"/>
      <c r="O18" s="35"/>
      <c r="P18" s="45"/>
      <c r="Q18" s="45"/>
      <c r="R18" s="45"/>
      <c r="S18" s="35"/>
      <c r="T18" s="46"/>
      <c r="U18" s="35" t="e">
        <f t="shared" si="4"/>
        <v>#DIV/0!</v>
      </c>
      <c r="V18" s="47"/>
      <c r="W18" s="39">
        <f t="shared" si="6"/>
        <v>0</v>
      </c>
      <c r="X18" s="70"/>
    </row>
    <row r="19" spans="1:24" s="14" customFormat="1" ht="42.75" customHeight="1" x14ac:dyDescent="0.25">
      <c r="A19" s="66"/>
      <c r="B19" s="68"/>
      <c r="C19" s="45"/>
      <c r="D19" s="15">
        <v>3</v>
      </c>
      <c r="E19" s="49" t="s">
        <v>32</v>
      </c>
      <c r="F19" s="45"/>
      <c r="G19" s="45"/>
      <c r="H19" s="45"/>
      <c r="I19" s="45"/>
      <c r="J19" s="45"/>
      <c r="K19" s="35">
        <f>C19*D19*F19</f>
        <v>0</v>
      </c>
      <c r="L19" s="45"/>
      <c r="M19" s="35" t="e">
        <f t="shared" si="3"/>
        <v>#DIV/0!</v>
      </c>
      <c r="N19" s="45"/>
      <c r="O19" s="35"/>
      <c r="P19" s="45"/>
      <c r="Q19" s="45"/>
      <c r="R19" s="45"/>
      <c r="S19" s="35"/>
      <c r="T19" s="46"/>
      <c r="U19" s="35" t="e">
        <f t="shared" si="4"/>
        <v>#DIV/0!</v>
      </c>
      <c r="V19" s="47"/>
      <c r="W19" s="39">
        <f t="shared" si="6"/>
        <v>0</v>
      </c>
      <c r="X19" s="71"/>
    </row>
    <row r="20" spans="1:24" s="19" customFormat="1" ht="25.5" customHeight="1" x14ac:dyDescent="0.25">
      <c r="A20" s="72"/>
      <c r="B20" s="72"/>
      <c r="C20" s="17">
        <f>SUM(C9:C19)</f>
        <v>42</v>
      </c>
      <c r="D20" s="16" t="s">
        <v>13</v>
      </c>
      <c r="E20" s="16"/>
      <c r="F20" s="16"/>
      <c r="G20" s="16"/>
      <c r="H20" s="16"/>
      <c r="I20" s="16"/>
      <c r="J20" s="16"/>
      <c r="K20" s="17">
        <f>SUM(K9:K19)</f>
        <v>109150</v>
      </c>
      <c r="L20" s="40">
        <f>SUM(L9:L19)</f>
        <v>35633.857359999995</v>
      </c>
      <c r="M20" s="17"/>
      <c r="N20" s="16">
        <f>N9+N16+N19+N10</f>
        <v>14</v>
      </c>
      <c r="O20" s="16" t="s">
        <v>13</v>
      </c>
      <c r="P20" s="16"/>
      <c r="Q20" s="16"/>
      <c r="R20" s="16"/>
      <c r="S20" s="42">
        <f>SUM(S9:S19)</f>
        <v>108040</v>
      </c>
      <c r="T20" s="41">
        <f>SUM(T9:T19)</f>
        <v>40444.92</v>
      </c>
      <c r="U20" s="16"/>
      <c r="V20" s="41">
        <f>SUM(V9:V19)</f>
        <v>40444.92</v>
      </c>
      <c r="W20" s="41">
        <f>SUM(W9:W19)</f>
        <v>0</v>
      </c>
      <c r="X20" s="18"/>
    </row>
    <row r="21" spans="1:24" s="14" customFormat="1" ht="18.75" x14ac:dyDescent="0.25">
      <c r="A21" s="73"/>
      <c r="B21" s="7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20"/>
      <c r="W21" s="20"/>
      <c r="X21" s="20"/>
    </row>
    <row r="22" spans="1:24" s="21" customFormat="1" x14ac:dyDescent="0.25">
      <c r="B22" s="22"/>
      <c r="V22" s="23"/>
      <c r="W22" s="23"/>
      <c r="X22" s="24"/>
    </row>
    <row r="23" spans="1:24" s="21" customFormat="1" x14ac:dyDescent="0.25">
      <c r="B23" s="22"/>
      <c r="V23" s="23"/>
      <c r="W23" s="23"/>
      <c r="X23" s="24"/>
    </row>
    <row r="24" spans="1:24" s="21" customFormat="1" x14ac:dyDescent="0.25">
      <c r="B24" s="22"/>
      <c r="V24" s="23"/>
      <c r="W24" s="23"/>
      <c r="X24" s="24"/>
    </row>
    <row r="25" spans="1:24" s="21" customFormat="1" x14ac:dyDescent="0.25">
      <c r="B25" s="22"/>
      <c r="V25" s="23"/>
      <c r="W25" s="23"/>
      <c r="X25" s="24"/>
    </row>
    <row r="26" spans="1:24" ht="18.75" x14ac:dyDescent="0.3">
      <c r="A26" s="43" t="s">
        <v>14</v>
      </c>
      <c r="B26" s="43"/>
      <c r="C26" s="43"/>
      <c r="D26" s="43"/>
      <c r="X26" s="52"/>
    </row>
    <row r="27" spans="1:24" ht="23.25" x14ac:dyDescent="0.35">
      <c r="A27" s="27" t="s">
        <v>15</v>
      </c>
      <c r="B27" s="27"/>
      <c r="C27" s="27"/>
      <c r="D27" s="27"/>
      <c r="R27" s="53"/>
    </row>
    <row r="28" spans="1:24" ht="23.25" x14ac:dyDescent="0.35">
      <c r="A28" s="28" t="s">
        <v>16</v>
      </c>
      <c r="B28" s="28"/>
      <c r="C28" s="28"/>
      <c r="D28" s="28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53"/>
      <c r="S28" s="29"/>
      <c r="T28" s="29"/>
      <c r="U28" s="29"/>
      <c r="V28" s="30"/>
      <c r="W28" s="30"/>
      <c r="X28" s="31"/>
    </row>
    <row r="29" spans="1:24" ht="18.75" x14ac:dyDescent="0.3">
      <c r="A29" s="28"/>
      <c r="B29" s="28"/>
      <c r="C29" s="28"/>
      <c r="D29" s="28"/>
    </row>
    <row r="30" spans="1:24" ht="18.75" x14ac:dyDescent="0.3">
      <c r="A30" s="27" t="s">
        <v>35</v>
      </c>
      <c r="B30" s="27"/>
      <c r="C30" s="32"/>
      <c r="D30" s="32"/>
      <c r="E30" s="32" t="s">
        <v>36</v>
      </c>
      <c r="F30" s="38"/>
      <c r="G30" s="38"/>
      <c r="H30" s="38"/>
      <c r="I30" s="38"/>
      <c r="J30" s="38"/>
      <c r="K30" s="33"/>
    </row>
    <row r="31" spans="1:24" ht="18.75" x14ac:dyDescent="0.3">
      <c r="A31" s="27" t="s">
        <v>17</v>
      </c>
      <c r="B31" s="27"/>
      <c r="C31" s="27"/>
      <c r="D31" s="27"/>
      <c r="E31" s="27"/>
      <c r="F31" s="27"/>
      <c r="G31" s="27"/>
      <c r="H31" s="27"/>
      <c r="I31" s="27"/>
      <c r="J31" s="33"/>
      <c r="U31" s="25"/>
      <c r="W31" s="26"/>
      <c r="X31" s="5"/>
    </row>
    <row r="32" spans="1:24" ht="18.75" x14ac:dyDescent="0.3">
      <c r="A32" s="27" t="s">
        <v>37</v>
      </c>
      <c r="B32" s="27"/>
      <c r="C32" s="32"/>
      <c r="D32" s="32"/>
      <c r="E32" s="32" t="s">
        <v>38</v>
      </c>
      <c r="F32" s="38"/>
      <c r="G32" s="38"/>
      <c r="H32" s="38"/>
      <c r="I32" s="38"/>
      <c r="J32" s="33"/>
      <c r="U32" s="25"/>
      <c r="W32" s="26"/>
      <c r="X32" s="5"/>
    </row>
    <row r="33" spans="1:24" ht="18.75" x14ac:dyDescent="0.3">
      <c r="A33" s="27" t="s">
        <v>18</v>
      </c>
      <c r="B33" s="27"/>
      <c r="C33" s="27"/>
      <c r="D33" s="27"/>
      <c r="E33" s="27"/>
      <c r="F33" s="27"/>
      <c r="G33" s="27"/>
      <c r="H33" s="27"/>
      <c r="I33" s="27"/>
      <c r="J33" s="33"/>
      <c r="U33" s="25"/>
      <c r="W33" s="26"/>
      <c r="X33" s="5"/>
    </row>
    <row r="34" spans="1:24" ht="15" x14ac:dyDescent="0.25">
      <c r="B34" s="5"/>
      <c r="U34" s="25"/>
      <c r="W34" s="26"/>
      <c r="X34" s="5"/>
    </row>
    <row r="35" spans="1:24" ht="15" x14ac:dyDescent="0.25">
      <c r="B35" s="5"/>
      <c r="U35" s="25"/>
      <c r="W35" s="26"/>
      <c r="X35" s="5"/>
    </row>
    <row r="36" spans="1:24" ht="15" x14ac:dyDescent="0.25">
      <c r="B36" s="5"/>
      <c r="U36" s="25"/>
      <c r="W36" s="26"/>
      <c r="X36" s="5"/>
    </row>
    <row r="37" spans="1:24" ht="15" x14ac:dyDescent="0.25">
      <c r="B37" s="5"/>
    </row>
    <row r="38" spans="1:24" ht="15" x14ac:dyDescent="0.25">
      <c r="B38" s="5"/>
    </row>
    <row r="39" spans="1:24" ht="23.25" x14ac:dyDescent="0.35">
      <c r="N39" s="54"/>
    </row>
    <row r="40" spans="1:24" ht="21" x14ac:dyDescent="0.35">
      <c r="N40" s="55"/>
    </row>
    <row r="41" spans="1:24" ht="21" x14ac:dyDescent="0.35">
      <c r="N41" s="56"/>
    </row>
    <row r="42" spans="1:24" ht="21" x14ac:dyDescent="0.35">
      <c r="N42" s="57"/>
    </row>
  </sheetData>
  <mergeCells count="12">
    <mergeCell ref="A1:B1"/>
    <mergeCell ref="A2:X2"/>
    <mergeCell ref="A4:X4"/>
    <mergeCell ref="A6:A7"/>
    <mergeCell ref="B6:B7"/>
    <mergeCell ref="C6:M6"/>
    <mergeCell ref="N6:X6"/>
    <mergeCell ref="A9:A19"/>
    <mergeCell ref="B9:B19"/>
    <mergeCell ref="X9:X19"/>
    <mergeCell ref="A20:B20"/>
    <mergeCell ref="A21:B21"/>
  </mergeCells>
  <dataValidations count="2">
    <dataValidation type="whole" allowBlank="1" showInputMessage="1" showErrorMessage="1" sqref="H9:H19">
      <formula1>0</formula1>
      <formula2>8</formula2>
    </dataValidation>
    <dataValidation type="whole" allowBlank="1" showInputMessage="1" showErrorMessage="1" sqref="G9:G19">
      <formula1>0</formula1>
      <formula2>16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42"/>
  <sheetViews>
    <sheetView zoomScale="55" zoomScaleNormal="55" workbookViewId="0">
      <selection activeCell="T11" sqref="T11"/>
    </sheetView>
  </sheetViews>
  <sheetFormatPr defaultColWidth="8.85546875" defaultRowHeight="15.75" x14ac:dyDescent="0.25"/>
  <cols>
    <col min="1" max="1" width="17.140625" style="5" customWidth="1"/>
    <col min="2" max="2" width="31" style="34" customWidth="1"/>
    <col min="3" max="3" width="17.28515625" style="5" customWidth="1"/>
    <col min="4" max="4" width="19.7109375" style="5" customWidth="1"/>
    <col min="5" max="5" width="29.140625" style="5" customWidth="1"/>
    <col min="6" max="10" width="17.28515625" style="5" customWidth="1"/>
    <col min="11" max="11" width="19.7109375" style="5" customWidth="1"/>
    <col min="12" max="12" width="21" style="5" customWidth="1"/>
    <col min="13" max="13" width="18.85546875" style="5" customWidth="1"/>
    <col min="14" max="14" width="26.28515625" style="5" customWidth="1"/>
    <col min="15" max="15" width="19.7109375" style="5" customWidth="1"/>
    <col min="16" max="18" width="18" style="5" customWidth="1"/>
    <col min="19" max="19" width="15.7109375" style="5" customWidth="1"/>
    <col min="20" max="20" width="18.140625" style="5" customWidth="1"/>
    <col min="21" max="21" width="21.28515625" style="5" customWidth="1"/>
    <col min="22" max="22" width="17.7109375" style="25" customWidth="1"/>
    <col min="23" max="23" width="19.28515625" style="25" customWidth="1"/>
    <col min="24" max="24" width="40.140625" style="26" customWidth="1"/>
    <col min="25" max="16384" width="8.85546875" style="5"/>
  </cols>
  <sheetData>
    <row r="1" spans="1:33" ht="20.25" x14ac:dyDescent="0.3">
      <c r="A1" s="75"/>
      <c r="B1" s="75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3" t="s">
        <v>0</v>
      </c>
      <c r="Y1" s="4"/>
      <c r="Z1" s="4"/>
      <c r="AA1" s="4"/>
      <c r="AB1" s="4"/>
      <c r="AC1" s="4"/>
      <c r="AD1" s="4"/>
      <c r="AE1" s="4"/>
      <c r="AF1" s="4"/>
      <c r="AG1" s="4"/>
    </row>
    <row r="2" spans="1:33" ht="20.25" x14ac:dyDescent="0.3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3" spans="1:33" ht="20.25" x14ac:dyDescent="0.3">
      <c r="A3" s="36"/>
      <c r="B3" s="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7"/>
      <c r="W3" s="7"/>
      <c r="X3" s="8"/>
    </row>
    <row r="4" spans="1:33" s="9" customFormat="1" ht="20.25" x14ac:dyDescent="0.3">
      <c r="A4" s="77" t="s">
        <v>33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33" ht="20.25" x14ac:dyDescent="0.3">
      <c r="A5" s="36"/>
      <c r="B5" s="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7"/>
      <c r="W5" s="7"/>
      <c r="X5" s="8"/>
    </row>
    <row r="6" spans="1:33" s="10" customFormat="1" ht="20.25" customHeight="1" x14ac:dyDescent="0.25">
      <c r="A6" s="78" t="s">
        <v>2</v>
      </c>
      <c r="B6" s="78" t="s">
        <v>3</v>
      </c>
      <c r="C6" s="79" t="s">
        <v>19</v>
      </c>
      <c r="D6" s="80"/>
      <c r="E6" s="80"/>
      <c r="F6" s="80"/>
      <c r="G6" s="80"/>
      <c r="H6" s="80"/>
      <c r="I6" s="80"/>
      <c r="J6" s="80"/>
      <c r="K6" s="80"/>
      <c r="L6" s="80"/>
      <c r="M6" s="81"/>
      <c r="N6" s="79" t="str">
        <f>CONCATENATE(LEFT(C6,4)+1," год")</f>
        <v>2026 год</v>
      </c>
      <c r="O6" s="80"/>
      <c r="P6" s="80"/>
      <c r="Q6" s="80"/>
      <c r="R6" s="80"/>
      <c r="S6" s="80"/>
      <c r="T6" s="80"/>
      <c r="U6" s="80"/>
      <c r="V6" s="80"/>
      <c r="W6" s="80"/>
      <c r="X6" s="81"/>
    </row>
    <row r="7" spans="1:33" s="10" customFormat="1" ht="165" x14ac:dyDescent="0.25">
      <c r="A7" s="78"/>
      <c r="B7" s="78"/>
      <c r="C7" s="37" t="s">
        <v>27</v>
      </c>
      <c r="D7" s="37" t="s">
        <v>28</v>
      </c>
      <c r="E7" s="37" t="s">
        <v>20</v>
      </c>
      <c r="F7" s="37" t="str">
        <f>CONCATENATE("Количество дней работы поста в ",C6,"у по контракту")</f>
        <v>Количество дней работы поста в 2025 году по контракту</v>
      </c>
      <c r="G7" s="37" t="s">
        <v>24</v>
      </c>
      <c r="H7" s="37" t="s">
        <v>25</v>
      </c>
      <c r="I7" s="37" t="s">
        <v>22</v>
      </c>
      <c r="J7" s="37" t="s">
        <v>23</v>
      </c>
      <c r="K7" s="37" t="s">
        <v>4</v>
      </c>
      <c r="L7" s="37" t="s">
        <v>5</v>
      </c>
      <c r="M7" s="37" t="s">
        <v>6</v>
      </c>
      <c r="N7" s="37" t="s">
        <v>26</v>
      </c>
      <c r="O7" s="37" t="s">
        <v>29</v>
      </c>
      <c r="P7" s="37" t="str">
        <f>CONCATENATE("Количество дней работы поста в ",N6,"у по плану")</f>
        <v>Количество дней работы поста в 2026 году по плану</v>
      </c>
      <c r="Q7" s="37" t="s">
        <v>24</v>
      </c>
      <c r="R7" s="37" t="s">
        <v>25</v>
      </c>
      <c r="S7" s="37" t="s">
        <v>7</v>
      </c>
      <c r="T7" s="37" t="s">
        <v>8</v>
      </c>
      <c r="U7" s="37" t="s">
        <v>6</v>
      </c>
      <c r="V7" s="37" t="s">
        <v>9</v>
      </c>
      <c r="W7" s="37" t="s">
        <v>10</v>
      </c>
      <c r="X7" s="37" t="s">
        <v>11</v>
      </c>
    </row>
    <row r="8" spans="1:33" s="13" customFormat="1" ht="15" x14ac:dyDescent="0.25">
      <c r="A8" s="11">
        <v>1</v>
      </c>
      <c r="B8" s="11">
        <f>A8+1</f>
        <v>2</v>
      </c>
      <c r="C8" s="11">
        <f>B8+1</f>
        <v>3</v>
      </c>
      <c r="D8" s="11">
        <f t="shared" ref="D8:L8" si="0">C8+1</f>
        <v>4</v>
      </c>
      <c r="E8" s="11">
        <f t="shared" si="0"/>
        <v>5</v>
      </c>
      <c r="F8" s="11">
        <f t="shared" si="0"/>
        <v>6</v>
      </c>
      <c r="G8" s="11">
        <f t="shared" si="0"/>
        <v>7</v>
      </c>
      <c r="H8" s="11">
        <f t="shared" si="0"/>
        <v>8</v>
      </c>
      <c r="I8" s="11">
        <f t="shared" si="0"/>
        <v>9</v>
      </c>
      <c r="J8" s="11">
        <f t="shared" si="0"/>
        <v>10</v>
      </c>
      <c r="K8" s="11">
        <f>J8+1</f>
        <v>11</v>
      </c>
      <c r="L8" s="11">
        <f t="shared" si="0"/>
        <v>12</v>
      </c>
      <c r="M8" s="44" t="str">
        <f>CONCATENATE(L8+1,"=гр.",L8,"/гр.",K8,"*1000")</f>
        <v>13=гр.12/гр.11*1000</v>
      </c>
      <c r="N8" s="12">
        <f>LEFT(M8,2)+1</f>
        <v>14</v>
      </c>
      <c r="O8" s="12">
        <f t="shared" ref="O8:T8" si="1">N8+1</f>
        <v>15</v>
      </c>
      <c r="P8" s="12">
        <f t="shared" si="1"/>
        <v>16</v>
      </c>
      <c r="Q8" s="12">
        <f t="shared" si="1"/>
        <v>17</v>
      </c>
      <c r="R8" s="12">
        <f t="shared" si="1"/>
        <v>18</v>
      </c>
      <c r="S8" s="12">
        <f t="shared" si="1"/>
        <v>19</v>
      </c>
      <c r="T8" s="12">
        <f t="shared" si="1"/>
        <v>20</v>
      </c>
      <c r="U8" s="44" t="str">
        <f>CONCATENATE(T8+1,"=гр.",T8,"/гр.",S8,"*1000")</f>
        <v>21=гр.20/гр.19*1000</v>
      </c>
      <c r="V8" s="11">
        <f>LEFT(U8,2)+1</f>
        <v>22</v>
      </c>
      <c r="W8" s="44" t="str">
        <f>CONCATENATE(V8+1,"=гр.",T8,"-гр.",V8)</f>
        <v>23=гр.20-гр.22</v>
      </c>
      <c r="X8" s="11">
        <f>LEFT(W8,2)+1</f>
        <v>24</v>
      </c>
    </row>
    <row r="9" spans="1:33" s="14" customFormat="1" ht="46.5" customHeight="1" x14ac:dyDescent="0.25">
      <c r="A9" s="65" t="s">
        <v>21</v>
      </c>
      <c r="B9" s="67" t="s">
        <v>12</v>
      </c>
      <c r="C9" s="45">
        <v>12</v>
      </c>
      <c r="D9" s="35">
        <v>24</v>
      </c>
      <c r="E9" s="49" t="s">
        <v>30</v>
      </c>
      <c r="F9" s="45">
        <v>181</v>
      </c>
      <c r="G9" s="45">
        <v>16</v>
      </c>
      <c r="H9" s="45">
        <v>8</v>
      </c>
      <c r="I9" s="45">
        <v>285</v>
      </c>
      <c r="J9" s="45">
        <v>315</v>
      </c>
      <c r="K9" s="50">
        <f>C9*D9*F9</f>
        <v>52128</v>
      </c>
      <c r="L9" s="48">
        <f>(G9*I9*C9*F9+C9*F9*H9*J9)/1000</f>
        <v>15377.76</v>
      </c>
      <c r="M9" s="51">
        <f>L9/K9*1000</f>
        <v>295</v>
      </c>
      <c r="N9" s="45">
        <v>12</v>
      </c>
      <c r="O9" s="35">
        <f>D9</f>
        <v>24</v>
      </c>
      <c r="P9" s="45">
        <v>181</v>
      </c>
      <c r="Q9" s="45">
        <f>N9*16*P9</f>
        <v>34752</v>
      </c>
      <c r="R9" s="45">
        <f>N9*P9*8</f>
        <v>17376</v>
      </c>
      <c r="S9" s="35">
        <f>O9*P9*N9</f>
        <v>52128</v>
      </c>
      <c r="T9" s="46">
        <f>(Q9*343.95+R9*380.21)/1000</f>
        <v>18559.479360000001</v>
      </c>
      <c r="U9" s="64">
        <f>T9/S9*1000</f>
        <v>356.03666666666669</v>
      </c>
      <c r="V9" s="47">
        <f>(Q9*361+R9*399)/1000</f>
        <v>19478.495999999999</v>
      </c>
      <c r="W9" s="39">
        <f>T9-V9</f>
        <v>-919.01663999999801</v>
      </c>
      <c r="X9" s="69" t="s">
        <v>34</v>
      </c>
    </row>
    <row r="10" spans="1:33" s="14" customFormat="1" ht="46.5" customHeight="1" x14ac:dyDescent="0.25">
      <c r="A10" s="66"/>
      <c r="B10" s="68"/>
      <c r="C10" s="45">
        <v>2</v>
      </c>
      <c r="D10" s="35">
        <v>3</v>
      </c>
      <c r="E10" s="49" t="s">
        <v>31</v>
      </c>
      <c r="F10" s="45">
        <v>181</v>
      </c>
      <c r="G10" s="45"/>
      <c r="H10" s="45">
        <v>3</v>
      </c>
      <c r="I10" s="45">
        <v>285</v>
      </c>
      <c r="J10" s="45">
        <v>315</v>
      </c>
      <c r="K10" s="51">
        <f>C10*D10*F10</f>
        <v>1086</v>
      </c>
      <c r="L10" s="48">
        <f t="shared" ref="L10:L15" si="2">(G10*I10*C10*F10+C10*F10*H10*J10)/1000</f>
        <v>342.09</v>
      </c>
      <c r="M10" s="51">
        <f t="shared" ref="M10:M19" si="3">L10/K10*1000</f>
        <v>315</v>
      </c>
      <c r="N10" s="45">
        <v>2</v>
      </c>
      <c r="O10" s="35">
        <v>4</v>
      </c>
      <c r="P10" s="45">
        <v>181</v>
      </c>
      <c r="Q10" s="45">
        <f>N10*0*P10</f>
        <v>0</v>
      </c>
      <c r="R10" s="45">
        <f>N10*4*P10</f>
        <v>1448</v>
      </c>
      <c r="S10" s="35">
        <f>O10*P10*N10</f>
        <v>1448</v>
      </c>
      <c r="T10" s="46">
        <f>(Q10*343.95+R10*380.21)/1000</f>
        <v>550.54408000000001</v>
      </c>
      <c r="U10" s="64">
        <f t="shared" ref="U10:U19" si="4">T10/S10*1000</f>
        <v>380.21</v>
      </c>
      <c r="V10" s="47">
        <f>(Q10*361+R10*399)/1000</f>
        <v>577.75199999999995</v>
      </c>
      <c r="W10" s="39">
        <f>T10-V10</f>
        <v>-27.207919999999945</v>
      </c>
      <c r="X10" s="70"/>
    </row>
    <row r="11" spans="1:33" s="14" customFormat="1" ht="46.5" customHeight="1" x14ac:dyDescent="0.25">
      <c r="A11" s="66"/>
      <c r="B11" s="68"/>
      <c r="C11" s="45">
        <v>4</v>
      </c>
      <c r="D11" s="35">
        <v>24</v>
      </c>
      <c r="E11" s="49" t="s">
        <v>58</v>
      </c>
      <c r="F11" s="45">
        <v>14</v>
      </c>
      <c r="G11" s="45">
        <v>16</v>
      </c>
      <c r="H11" s="45">
        <v>8</v>
      </c>
      <c r="I11" s="45">
        <v>327.57</v>
      </c>
      <c r="J11" s="45">
        <v>362.1</v>
      </c>
      <c r="K11" s="51">
        <f t="shared" ref="K11:K15" si="5">C11*D11*F11</f>
        <v>1344</v>
      </c>
      <c r="L11" s="48">
        <f t="shared" si="2"/>
        <v>455.72352000000001</v>
      </c>
      <c r="M11" s="51">
        <f t="shared" ref="M11:M15" si="6">L11/K11*1000</f>
        <v>339.08</v>
      </c>
      <c r="N11" s="45">
        <v>12</v>
      </c>
      <c r="O11" s="35">
        <f>D11</f>
        <v>24</v>
      </c>
      <c r="P11" s="45">
        <v>184</v>
      </c>
      <c r="Q11" s="45">
        <f>N11*16*P11</f>
        <v>35328</v>
      </c>
      <c r="R11" s="45">
        <f>N11*P11*8</f>
        <v>17664</v>
      </c>
      <c r="S11" s="35">
        <f>O11*P11*N11</f>
        <v>52992</v>
      </c>
      <c r="T11" s="46">
        <f>(Q11*361+R11*399)/1000</f>
        <v>19801.344000000001</v>
      </c>
      <c r="U11" s="64">
        <f>T11/S11*1000</f>
        <v>373.66666666666669</v>
      </c>
      <c r="V11" s="47">
        <f>(Q11*361+R11*399)/1000</f>
        <v>19801.344000000001</v>
      </c>
      <c r="W11" s="39">
        <f>T11-V11</f>
        <v>0</v>
      </c>
      <c r="X11" s="70"/>
    </row>
    <row r="12" spans="1:33" s="14" customFormat="1" ht="46.5" customHeight="1" x14ac:dyDescent="0.25">
      <c r="A12" s="66"/>
      <c r="B12" s="68"/>
      <c r="C12" s="45">
        <v>1</v>
      </c>
      <c r="D12" s="35">
        <v>8</v>
      </c>
      <c r="E12" s="49" t="s">
        <v>58</v>
      </c>
      <c r="F12" s="45">
        <v>14</v>
      </c>
      <c r="G12" s="45"/>
      <c r="H12" s="45">
        <v>8</v>
      </c>
      <c r="I12" s="45">
        <v>327.57</v>
      </c>
      <c r="J12" s="45">
        <v>362.1</v>
      </c>
      <c r="K12" s="51">
        <f t="shared" si="5"/>
        <v>112</v>
      </c>
      <c r="L12" s="48">
        <f t="shared" si="2"/>
        <v>40.555200000000006</v>
      </c>
      <c r="M12" s="51">
        <f t="shared" si="6"/>
        <v>362.1</v>
      </c>
      <c r="N12" s="45">
        <v>2</v>
      </c>
      <c r="O12" s="35">
        <v>4</v>
      </c>
      <c r="P12" s="45">
        <v>184</v>
      </c>
      <c r="Q12" s="45">
        <f>N12*0*P12</f>
        <v>0</v>
      </c>
      <c r="R12" s="45">
        <f>N12*4*P12</f>
        <v>1472</v>
      </c>
      <c r="S12" s="35">
        <f>O12*P12*N12</f>
        <v>1472</v>
      </c>
      <c r="T12" s="46">
        <f>(Q12*361+R12*399)/1000</f>
        <v>587.32799999999997</v>
      </c>
      <c r="U12" s="64">
        <f t="shared" ref="U12" si="7">T12/S12*1000</f>
        <v>398.99999999999994</v>
      </c>
      <c r="V12" s="47">
        <f>(Q12*361+R12*399)/1000</f>
        <v>587.32799999999997</v>
      </c>
      <c r="W12" s="39">
        <f>T12-V12</f>
        <v>0</v>
      </c>
      <c r="X12" s="70"/>
    </row>
    <row r="13" spans="1:33" s="14" customFormat="1" ht="46.5" customHeight="1" x14ac:dyDescent="0.25">
      <c r="A13" s="66"/>
      <c r="B13" s="68"/>
      <c r="C13" s="45">
        <v>4</v>
      </c>
      <c r="D13" s="35">
        <v>24</v>
      </c>
      <c r="E13" s="49" t="s">
        <v>56</v>
      </c>
      <c r="F13" s="45">
        <v>14</v>
      </c>
      <c r="G13" s="45">
        <v>16</v>
      </c>
      <c r="H13" s="45">
        <v>8</v>
      </c>
      <c r="I13" s="45">
        <v>327.57</v>
      </c>
      <c r="J13" s="45">
        <v>362.1</v>
      </c>
      <c r="K13" s="51">
        <f>C13*D13*F13</f>
        <v>1344</v>
      </c>
      <c r="L13" s="48">
        <f t="shared" si="2"/>
        <v>455.72352000000001</v>
      </c>
      <c r="M13" s="51">
        <f t="shared" si="6"/>
        <v>339.08</v>
      </c>
      <c r="N13" s="45"/>
      <c r="O13" s="35"/>
      <c r="P13" s="45"/>
      <c r="Q13" s="45"/>
      <c r="R13" s="45"/>
      <c r="S13" s="35"/>
      <c r="T13" s="46"/>
      <c r="U13" s="64"/>
      <c r="V13" s="47"/>
      <c r="W13" s="39"/>
      <c r="X13" s="70"/>
    </row>
    <row r="14" spans="1:33" s="14" customFormat="1" ht="46.5" customHeight="1" x14ac:dyDescent="0.25">
      <c r="A14" s="66"/>
      <c r="B14" s="68"/>
      <c r="C14" s="45">
        <v>1</v>
      </c>
      <c r="D14" s="35">
        <v>8</v>
      </c>
      <c r="E14" s="49" t="s">
        <v>56</v>
      </c>
      <c r="F14" s="45">
        <v>14</v>
      </c>
      <c r="G14" s="45"/>
      <c r="H14" s="45">
        <v>8</v>
      </c>
      <c r="I14" s="45">
        <v>327.57</v>
      </c>
      <c r="J14" s="45">
        <v>362.1</v>
      </c>
      <c r="K14" s="51">
        <f>C14*D14*F14</f>
        <v>112</v>
      </c>
      <c r="L14" s="48">
        <f t="shared" si="2"/>
        <v>40.555200000000006</v>
      </c>
      <c r="M14" s="51">
        <f t="shared" si="6"/>
        <v>362.1</v>
      </c>
      <c r="N14" s="45"/>
      <c r="O14" s="35"/>
      <c r="P14" s="45"/>
      <c r="Q14" s="45"/>
      <c r="R14" s="45"/>
      <c r="S14" s="35"/>
      <c r="T14" s="46"/>
      <c r="U14" s="35"/>
      <c r="V14" s="47"/>
      <c r="W14" s="39"/>
      <c r="X14" s="70"/>
    </row>
    <row r="15" spans="1:33" s="14" customFormat="1" ht="46.5" customHeight="1" x14ac:dyDescent="0.25">
      <c r="A15" s="66"/>
      <c r="B15" s="68"/>
      <c r="C15" s="45">
        <v>4</v>
      </c>
      <c r="D15" s="35">
        <v>24</v>
      </c>
      <c r="E15" s="49" t="s">
        <v>57</v>
      </c>
      <c r="F15" s="45">
        <v>14</v>
      </c>
      <c r="G15" s="45">
        <v>16</v>
      </c>
      <c r="H15" s="45">
        <v>8</v>
      </c>
      <c r="I15" s="45">
        <v>327.57</v>
      </c>
      <c r="J15" s="45">
        <v>362.1</v>
      </c>
      <c r="K15" s="51">
        <f t="shared" si="5"/>
        <v>1344</v>
      </c>
      <c r="L15" s="48">
        <f t="shared" si="2"/>
        <v>455.72352000000001</v>
      </c>
      <c r="M15" s="51">
        <f t="shared" si="6"/>
        <v>339.08</v>
      </c>
      <c r="N15" s="45"/>
      <c r="O15" s="35"/>
      <c r="P15" s="45"/>
      <c r="Q15" s="45"/>
      <c r="R15" s="45"/>
      <c r="S15" s="35"/>
      <c r="T15" s="46"/>
      <c r="U15" s="35"/>
      <c r="V15" s="47"/>
      <c r="W15" s="39"/>
      <c r="X15" s="70"/>
    </row>
    <row r="16" spans="1:33" s="14" customFormat="1" ht="42.75" customHeight="1" x14ac:dyDescent="0.25">
      <c r="A16" s="66"/>
      <c r="B16" s="68"/>
      <c r="C16" s="45">
        <v>12</v>
      </c>
      <c r="D16" s="15">
        <v>24</v>
      </c>
      <c r="E16" s="49" t="s">
        <v>55</v>
      </c>
      <c r="F16" s="45">
        <v>170</v>
      </c>
      <c r="G16" s="45">
        <v>16</v>
      </c>
      <c r="H16" s="45">
        <v>8</v>
      </c>
      <c r="I16" s="45">
        <v>343.95</v>
      </c>
      <c r="J16" s="45">
        <v>380.21</v>
      </c>
      <c r="K16" s="51">
        <f>C16*D16*F16</f>
        <v>48960</v>
      </c>
      <c r="L16" s="48">
        <f>(G16*I16*C16*F16++C16*F16*H16*J16)/1000</f>
        <v>17431.555199999995</v>
      </c>
      <c r="M16" s="50">
        <f t="shared" si="3"/>
        <v>356.03666666666658</v>
      </c>
      <c r="N16" s="45"/>
      <c r="O16" s="35"/>
      <c r="P16" s="45"/>
      <c r="Q16" s="45"/>
      <c r="R16" s="45"/>
      <c r="S16" s="35"/>
      <c r="T16" s="46"/>
      <c r="U16" s="35" t="e">
        <f t="shared" si="4"/>
        <v>#DIV/0!</v>
      </c>
      <c r="V16" s="47"/>
      <c r="W16" s="39">
        <f t="shared" ref="W16:W19" si="8">T16-V16</f>
        <v>0</v>
      </c>
      <c r="X16" s="70"/>
    </row>
    <row r="17" spans="1:24" s="14" customFormat="1" ht="42.75" customHeight="1" x14ac:dyDescent="0.25">
      <c r="A17" s="66"/>
      <c r="B17" s="68"/>
      <c r="C17" s="45">
        <v>2</v>
      </c>
      <c r="D17" s="15">
        <v>8</v>
      </c>
      <c r="E17" s="49" t="s">
        <v>55</v>
      </c>
      <c r="F17" s="45">
        <v>170</v>
      </c>
      <c r="G17" s="45"/>
      <c r="H17" s="45">
        <v>8</v>
      </c>
      <c r="I17" s="45">
        <v>343.95</v>
      </c>
      <c r="J17" s="45">
        <v>380.21</v>
      </c>
      <c r="K17" s="51">
        <f>C17*D17*F17</f>
        <v>2720</v>
      </c>
      <c r="L17" s="48">
        <f>(G17*I17*C17*F17+C17*F17*H17*J17)/1000</f>
        <v>1034.1712</v>
      </c>
      <c r="M17" s="50">
        <f t="shared" si="3"/>
        <v>380.21</v>
      </c>
      <c r="N17" s="45"/>
      <c r="O17" s="35"/>
      <c r="P17" s="45"/>
      <c r="Q17" s="45"/>
      <c r="R17" s="45"/>
      <c r="S17" s="35"/>
      <c r="T17" s="46"/>
      <c r="U17" s="35" t="e">
        <f t="shared" si="4"/>
        <v>#DIV/0!</v>
      </c>
      <c r="V17" s="47"/>
      <c r="W17" s="39">
        <f t="shared" si="8"/>
        <v>0</v>
      </c>
      <c r="X17" s="70"/>
    </row>
    <row r="18" spans="1:24" s="14" customFormat="1" ht="42.75" customHeight="1" x14ac:dyDescent="0.25">
      <c r="A18" s="66"/>
      <c r="B18" s="68"/>
      <c r="C18" s="45"/>
      <c r="D18" s="15">
        <v>3</v>
      </c>
      <c r="E18" s="49" t="s">
        <v>32</v>
      </c>
      <c r="F18" s="45"/>
      <c r="G18" s="45"/>
      <c r="H18" s="45"/>
      <c r="I18" s="45"/>
      <c r="J18" s="45"/>
      <c r="K18" s="35">
        <f>C18*D18*F18</f>
        <v>0</v>
      </c>
      <c r="L18" s="45"/>
      <c r="M18" s="35" t="e">
        <f t="shared" ref="M18" si="9">L18/K18*1000</f>
        <v>#DIV/0!</v>
      </c>
      <c r="N18" s="45"/>
      <c r="O18" s="35"/>
      <c r="P18" s="45"/>
      <c r="Q18" s="45"/>
      <c r="R18" s="45"/>
      <c r="S18" s="35"/>
      <c r="T18" s="46"/>
      <c r="U18" s="35" t="e">
        <f t="shared" ref="U18" si="10">T18/S18*1000</f>
        <v>#DIV/0!</v>
      </c>
      <c r="V18" s="47"/>
      <c r="W18" s="39">
        <f t="shared" ref="W18" si="11">T18-V18</f>
        <v>0</v>
      </c>
      <c r="X18" s="70"/>
    </row>
    <row r="19" spans="1:24" s="14" customFormat="1" ht="42.75" customHeight="1" x14ac:dyDescent="0.25">
      <c r="A19" s="66"/>
      <c r="B19" s="68"/>
      <c r="C19" s="45"/>
      <c r="D19" s="15">
        <v>3</v>
      </c>
      <c r="E19" s="49" t="s">
        <v>32</v>
      </c>
      <c r="F19" s="45"/>
      <c r="G19" s="45"/>
      <c r="H19" s="45"/>
      <c r="I19" s="45"/>
      <c r="J19" s="45"/>
      <c r="K19" s="35">
        <f>C19*D19*F19</f>
        <v>0</v>
      </c>
      <c r="L19" s="45"/>
      <c r="M19" s="35" t="e">
        <f t="shared" si="3"/>
        <v>#DIV/0!</v>
      </c>
      <c r="N19" s="45"/>
      <c r="O19" s="35"/>
      <c r="P19" s="45"/>
      <c r="Q19" s="45"/>
      <c r="R19" s="45"/>
      <c r="S19" s="35"/>
      <c r="T19" s="46"/>
      <c r="U19" s="35" t="e">
        <f t="shared" si="4"/>
        <v>#DIV/0!</v>
      </c>
      <c r="V19" s="47"/>
      <c r="W19" s="39">
        <f t="shared" si="8"/>
        <v>0</v>
      </c>
      <c r="X19" s="71"/>
    </row>
    <row r="20" spans="1:24" s="19" customFormat="1" ht="25.5" customHeight="1" x14ac:dyDescent="0.25">
      <c r="A20" s="72"/>
      <c r="B20" s="72"/>
      <c r="C20" s="17">
        <f>SUM(C9:C19)</f>
        <v>42</v>
      </c>
      <c r="D20" s="16" t="s">
        <v>13</v>
      </c>
      <c r="E20" s="16"/>
      <c r="F20" s="16"/>
      <c r="G20" s="16"/>
      <c r="H20" s="16"/>
      <c r="I20" s="16"/>
      <c r="J20" s="16"/>
      <c r="K20" s="17">
        <f>SUM(K9:K19)</f>
        <v>109150</v>
      </c>
      <c r="L20" s="40">
        <f>SUM(L9:L19)</f>
        <v>35633.857359999995</v>
      </c>
      <c r="M20" s="17"/>
      <c r="N20" s="16">
        <f>N9+N16+N19+N10</f>
        <v>14</v>
      </c>
      <c r="O20" s="16" t="s">
        <v>13</v>
      </c>
      <c r="P20" s="16"/>
      <c r="Q20" s="16"/>
      <c r="R20" s="16"/>
      <c r="S20" s="42">
        <f>SUM(S9:S19)</f>
        <v>108040</v>
      </c>
      <c r="T20" s="41">
        <f>SUM(T9:T19)</f>
        <v>39498.695440000003</v>
      </c>
      <c r="U20" s="16"/>
      <c r="V20" s="41">
        <f>SUM(V9:V19)</f>
        <v>40444.920000000006</v>
      </c>
      <c r="W20" s="41">
        <f>SUM(W9:W19)</f>
        <v>-946.22455999999795</v>
      </c>
      <c r="X20" s="18"/>
    </row>
    <row r="21" spans="1:24" s="14" customFormat="1" ht="18.75" x14ac:dyDescent="0.25">
      <c r="A21" s="73"/>
      <c r="B21" s="7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20"/>
      <c r="W21" s="20"/>
      <c r="X21" s="20"/>
    </row>
    <row r="22" spans="1:24" s="21" customFormat="1" x14ac:dyDescent="0.25">
      <c r="B22" s="22"/>
      <c r="V22" s="23"/>
      <c r="W22" s="23"/>
      <c r="X22" s="24"/>
    </row>
    <row r="23" spans="1:24" s="21" customFormat="1" x14ac:dyDescent="0.25">
      <c r="B23" s="22"/>
      <c r="V23" s="23"/>
      <c r="W23" s="23"/>
      <c r="X23" s="24"/>
    </row>
    <row r="24" spans="1:24" s="21" customFormat="1" x14ac:dyDescent="0.25">
      <c r="B24" s="22"/>
      <c r="V24" s="23"/>
      <c r="W24" s="23"/>
      <c r="X24" s="24"/>
    </row>
    <row r="25" spans="1:24" s="21" customFormat="1" x14ac:dyDescent="0.25">
      <c r="B25" s="22"/>
      <c r="V25" s="23"/>
      <c r="W25" s="23"/>
      <c r="X25" s="24"/>
    </row>
    <row r="26" spans="1:24" ht="18.75" x14ac:dyDescent="0.3">
      <c r="A26" s="43" t="s">
        <v>14</v>
      </c>
      <c r="B26" s="43"/>
      <c r="C26" s="43"/>
      <c r="D26" s="43"/>
      <c r="X26" s="52"/>
    </row>
    <row r="27" spans="1:24" ht="23.25" x14ac:dyDescent="0.35">
      <c r="A27" s="27" t="s">
        <v>15</v>
      </c>
      <c r="B27" s="27"/>
      <c r="C27" s="27"/>
      <c r="D27" s="27"/>
      <c r="R27" s="53"/>
    </row>
    <row r="28" spans="1:24" ht="23.25" x14ac:dyDescent="0.35">
      <c r="A28" s="28" t="s">
        <v>16</v>
      </c>
      <c r="B28" s="28"/>
      <c r="C28" s="28"/>
      <c r="D28" s="28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53"/>
      <c r="S28" s="29"/>
      <c r="T28" s="29"/>
      <c r="U28" s="29"/>
      <c r="V28" s="30"/>
      <c r="W28" s="30"/>
      <c r="X28" s="31"/>
    </row>
    <row r="29" spans="1:24" ht="18.75" x14ac:dyDescent="0.3">
      <c r="A29" s="28"/>
      <c r="B29" s="28"/>
      <c r="C29" s="28"/>
      <c r="D29" s="28"/>
    </row>
    <row r="30" spans="1:24" ht="18.75" x14ac:dyDescent="0.3">
      <c r="A30" s="27" t="s">
        <v>35</v>
      </c>
      <c r="B30" s="27"/>
      <c r="C30" s="32"/>
      <c r="D30" s="32"/>
      <c r="E30" s="32" t="s">
        <v>36</v>
      </c>
      <c r="F30" s="38"/>
      <c r="G30" s="38"/>
      <c r="H30" s="38"/>
      <c r="I30" s="38"/>
      <c r="J30" s="38"/>
      <c r="K30" s="33"/>
    </row>
    <row r="31" spans="1:24" ht="18.75" x14ac:dyDescent="0.3">
      <c r="A31" s="27" t="s">
        <v>17</v>
      </c>
      <c r="B31" s="27"/>
      <c r="C31" s="27"/>
      <c r="D31" s="27"/>
      <c r="E31" s="27"/>
      <c r="F31" s="27"/>
      <c r="G31" s="27"/>
      <c r="H31" s="27"/>
      <c r="I31" s="27"/>
      <c r="J31" s="33"/>
      <c r="U31" s="25"/>
      <c r="W31" s="26"/>
      <c r="X31" s="5"/>
    </row>
    <row r="32" spans="1:24" ht="18.75" x14ac:dyDescent="0.3">
      <c r="A32" s="27" t="s">
        <v>37</v>
      </c>
      <c r="B32" s="27"/>
      <c r="C32" s="32"/>
      <c r="D32" s="32"/>
      <c r="E32" s="32" t="s">
        <v>38</v>
      </c>
      <c r="F32" s="38"/>
      <c r="G32" s="38"/>
      <c r="H32" s="38"/>
      <c r="I32" s="38"/>
      <c r="J32" s="33"/>
      <c r="U32" s="25"/>
      <c r="W32" s="26"/>
      <c r="X32" s="5"/>
    </row>
    <row r="33" spans="1:24" ht="18.75" x14ac:dyDescent="0.3">
      <c r="A33" s="27" t="s">
        <v>18</v>
      </c>
      <c r="B33" s="27"/>
      <c r="C33" s="27"/>
      <c r="D33" s="27"/>
      <c r="E33" s="27"/>
      <c r="F33" s="27"/>
      <c r="G33" s="27"/>
      <c r="H33" s="27"/>
      <c r="I33" s="27"/>
      <c r="J33" s="33"/>
      <c r="U33" s="25"/>
      <c r="W33" s="26"/>
      <c r="X33" s="5"/>
    </row>
    <row r="34" spans="1:24" ht="15" x14ac:dyDescent="0.25">
      <c r="B34" s="5"/>
      <c r="U34" s="25"/>
      <c r="W34" s="26"/>
      <c r="X34" s="5"/>
    </row>
    <row r="35" spans="1:24" ht="15" x14ac:dyDescent="0.25">
      <c r="B35" s="5"/>
      <c r="U35" s="25"/>
      <c r="W35" s="26"/>
      <c r="X35" s="5"/>
    </row>
    <row r="36" spans="1:24" ht="15" x14ac:dyDescent="0.25">
      <c r="B36" s="5"/>
      <c r="U36" s="25"/>
      <c r="W36" s="26"/>
      <c r="X36" s="5"/>
    </row>
    <row r="37" spans="1:24" ht="15" x14ac:dyDescent="0.25">
      <c r="B37" s="5"/>
    </row>
    <row r="38" spans="1:24" ht="15" x14ac:dyDescent="0.25">
      <c r="B38" s="5"/>
    </row>
    <row r="39" spans="1:24" ht="23.25" x14ac:dyDescent="0.35">
      <c r="N39" s="54"/>
    </row>
    <row r="40" spans="1:24" ht="21" x14ac:dyDescent="0.35">
      <c r="N40" s="55"/>
    </row>
    <row r="41" spans="1:24" ht="21" x14ac:dyDescent="0.35">
      <c r="N41" s="56"/>
    </row>
    <row r="42" spans="1:24" ht="21" x14ac:dyDescent="0.35">
      <c r="N42" s="57"/>
    </row>
  </sheetData>
  <mergeCells count="12">
    <mergeCell ref="A20:B20"/>
    <mergeCell ref="A21:B21"/>
    <mergeCell ref="B9:B19"/>
    <mergeCell ref="A9:A19"/>
    <mergeCell ref="A1:B1"/>
    <mergeCell ref="A6:A7"/>
    <mergeCell ref="B6:B7"/>
    <mergeCell ref="A4:X4"/>
    <mergeCell ref="A2:X2"/>
    <mergeCell ref="C6:M6"/>
    <mergeCell ref="N6:X6"/>
    <mergeCell ref="X9:X19"/>
  </mergeCells>
  <dataValidations count="2">
    <dataValidation type="whole" allowBlank="1" showInputMessage="1" showErrorMessage="1" sqref="G9:G19">
      <formula1>0</formula1>
      <formula2>16</formula2>
    </dataValidation>
    <dataValidation type="whole" allowBlank="1" showInputMessage="1" showErrorMessage="1" sqref="H9:H19">
      <formula1>0</formula1>
      <formula2>8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1"/>
  <sheetViews>
    <sheetView workbookViewId="0">
      <selection activeCell="C4" sqref="C4:H17"/>
    </sheetView>
  </sheetViews>
  <sheetFormatPr defaultRowHeight="15" x14ac:dyDescent="0.25"/>
  <cols>
    <col min="3" max="3" width="60.85546875" customWidth="1"/>
    <col min="10" max="10" width="10" bestFit="1" customWidth="1"/>
    <col min="13" max="13" width="14.140625" customWidth="1"/>
    <col min="14" max="14" width="15.85546875" customWidth="1"/>
    <col min="15" max="15" width="18" customWidth="1"/>
  </cols>
  <sheetData>
    <row r="2" spans="2:15" x14ac:dyDescent="0.25">
      <c r="K2" t="s">
        <v>39</v>
      </c>
    </row>
    <row r="3" spans="2:15" x14ac:dyDescent="0.25">
      <c r="J3" t="s">
        <v>40</v>
      </c>
      <c r="K3" t="s">
        <v>41</v>
      </c>
      <c r="L3" t="s">
        <v>42</v>
      </c>
    </row>
    <row r="4" spans="2:15" ht="15.75" x14ac:dyDescent="0.25">
      <c r="B4" s="58">
        <v>1</v>
      </c>
      <c r="C4" s="59" t="s">
        <v>43</v>
      </c>
      <c r="D4" s="59">
        <v>2</v>
      </c>
      <c r="E4" s="59">
        <v>3</v>
      </c>
      <c r="F4" s="59">
        <v>1</v>
      </c>
      <c r="G4" s="59">
        <v>16</v>
      </c>
      <c r="H4" s="59">
        <v>8</v>
      </c>
      <c r="I4" s="59">
        <v>365</v>
      </c>
      <c r="J4">
        <f>365*(G4+H4)</f>
        <v>8760</v>
      </c>
      <c r="K4">
        <v>361</v>
      </c>
      <c r="L4">
        <v>399</v>
      </c>
      <c r="M4" s="60">
        <f>K4*G4*I4</f>
        <v>2108240</v>
      </c>
      <c r="N4" s="60">
        <f>I4*H4*L4</f>
        <v>1165080</v>
      </c>
      <c r="O4" s="60">
        <f>M4+N4</f>
        <v>3273320</v>
      </c>
    </row>
    <row r="5" spans="2:15" ht="15.75" x14ac:dyDescent="0.25">
      <c r="B5" s="58">
        <v>2</v>
      </c>
      <c r="C5" s="59" t="s">
        <v>44</v>
      </c>
      <c r="D5" s="59"/>
      <c r="E5" s="59"/>
      <c r="F5" s="59">
        <v>1</v>
      </c>
      <c r="G5" s="59">
        <v>16</v>
      </c>
      <c r="H5" s="59">
        <v>8</v>
      </c>
      <c r="I5" s="59">
        <v>365</v>
      </c>
      <c r="J5">
        <f t="shared" ref="J5:J17" si="0">365*(G5+H5)</f>
        <v>8760</v>
      </c>
      <c r="K5">
        <v>361</v>
      </c>
      <c r="L5">
        <v>399</v>
      </c>
      <c r="M5" s="60">
        <f t="shared" ref="M5:M17" si="1">K5*G5*I5</f>
        <v>2108240</v>
      </c>
      <c r="N5" s="60">
        <f t="shared" ref="N5:N17" si="2">I5*H5*L5</f>
        <v>1165080</v>
      </c>
      <c r="O5" s="60">
        <f t="shared" ref="O5:O17" si="3">M5+N5</f>
        <v>3273320</v>
      </c>
    </row>
    <row r="6" spans="2:15" ht="15.75" x14ac:dyDescent="0.25">
      <c r="B6" s="58">
        <v>3</v>
      </c>
      <c r="C6" s="59" t="s">
        <v>44</v>
      </c>
      <c r="D6" s="59"/>
      <c r="E6" s="59"/>
      <c r="F6" s="59">
        <v>1</v>
      </c>
      <c r="G6" s="59">
        <v>0</v>
      </c>
      <c r="H6" s="59">
        <v>4</v>
      </c>
      <c r="I6" s="59">
        <v>365</v>
      </c>
      <c r="J6">
        <f t="shared" si="0"/>
        <v>1460</v>
      </c>
      <c r="K6">
        <v>361</v>
      </c>
      <c r="L6">
        <v>399</v>
      </c>
      <c r="M6" s="60">
        <f t="shared" si="1"/>
        <v>0</v>
      </c>
      <c r="N6" s="60">
        <f t="shared" si="2"/>
        <v>582540</v>
      </c>
      <c r="O6" s="60">
        <f t="shared" si="3"/>
        <v>582540</v>
      </c>
    </row>
    <row r="7" spans="2:15" ht="15.75" x14ac:dyDescent="0.25">
      <c r="B7" s="58">
        <v>4</v>
      </c>
      <c r="C7" s="59" t="s">
        <v>45</v>
      </c>
      <c r="D7" s="59">
        <v>3</v>
      </c>
      <c r="E7" s="59">
        <v>2</v>
      </c>
      <c r="F7" s="59">
        <v>1</v>
      </c>
      <c r="G7" s="59">
        <v>16</v>
      </c>
      <c r="H7" s="59">
        <v>8</v>
      </c>
      <c r="I7" s="59">
        <v>365</v>
      </c>
      <c r="J7">
        <f t="shared" si="0"/>
        <v>8760</v>
      </c>
      <c r="K7">
        <v>361</v>
      </c>
      <c r="L7">
        <v>399</v>
      </c>
      <c r="M7" s="60">
        <f t="shared" si="1"/>
        <v>2108240</v>
      </c>
      <c r="N7" s="60">
        <f t="shared" si="2"/>
        <v>1165080</v>
      </c>
      <c r="O7" s="60">
        <f t="shared" si="3"/>
        <v>3273320</v>
      </c>
    </row>
    <row r="8" spans="2:15" ht="15.75" x14ac:dyDescent="0.25">
      <c r="B8" s="58">
        <v>5</v>
      </c>
      <c r="C8" s="59" t="s">
        <v>46</v>
      </c>
      <c r="D8" s="59"/>
      <c r="E8" s="59"/>
      <c r="F8" s="59">
        <v>1</v>
      </c>
      <c r="G8" s="59">
        <v>16</v>
      </c>
      <c r="H8" s="59">
        <v>8</v>
      </c>
      <c r="I8" s="59">
        <v>365</v>
      </c>
      <c r="J8">
        <f t="shared" si="0"/>
        <v>8760</v>
      </c>
      <c r="K8">
        <v>361</v>
      </c>
      <c r="L8">
        <v>399</v>
      </c>
      <c r="M8" s="60">
        <f t="shared" si="1"/>
        <v>2108240</v>
      </c>
      <c r="N8" s="60">
        <f t="shared" si="2"/>
        <v>1165080</v>
      </c>
      <c r="O8" s="60">
        <f t="shared" si="3"/>
        <v>3273320</v>
      </c>
    </row>
    <row r="9" spans="2:15" ht="15.75" x14ac:dyDescent="0.25">
      <c r="B9" s="58">
        <v>6</v>
      </c>
      <c r="C9" s="59" t="s">
        <v>47</v>
      </c>
      <c r="D9" s="59">
        <v>3</v>
      </c>
      <c r="E9" s="59">
        <v>2</v>
      </c>
      <c r="F9" s="59">
        <v>1</v>
      </c>
      <c r="G9" s="59">
        <v>16</v>
      </c>
      <c r="H9" s="59">
        <v>8</v>
      </c>
      <c r="I9" s="59">
        <v>365</v>
      </c>
      <c r="J9">
        <f t="shared" si="0"/>
        <v>8760</v>
      </c>
      <c r="K9">
        <v>361</v>
      </c>
      <c r="L9">
        <v>399</v>
      </c>
      <c r="M9" s="60">
        <f t="shared" si="1"/>
        <v>2108240</v>
      </c>
      <c r="N9" s="60">
        <f t="shared" si="2"/>
        <v>1165080</v>
      </c>
      <c r="O9" s="60">
        <f t="shared" si="3"/>
        <v>3273320</v>
      </c>
    </row>
    <row r="10" spans="2:15" ht="15.75" x14ac:dyDescent="0.25">
      <c r="B10" s="58">
        <v>7</v>
      </c>
      <c r="C10" s="59" t="s">
        <v>48</v>
      </c>
      <c r="D10" s="59"/>
      <c r="E10" s="59"/>
      <c r="F10" s="59">
        <v>1</v>
      </c>
      <c r="G10" s="59">
        <v>16</v>
      </c>
      <c r="H10" s="59">
        <v>8</v>
      </c>
      <c r="I10" s="59">
        <v>365</v>
      </c>
      <c r="J10">
        <f t="shared" si="0"/>
        <v>8760</v>
      </c>
      <c r="K10">
        <v>361</v>
      </c>
      <c r="L10">
        <v>399</v>
      </c>
      <c r="M10" s="60">
        <f t="shared" si="1"/>
        <v>2108240</v>
      </c>
      <c r="N10" s="60">
        <f t="shared" si="2"/>
        <v>1165080</v>
      </c>
      <c r="O10" s="60">
        <f t="shared" si="3"/>
        <v>3273320</v>
      </c>
    </row>
    <row r="11" spans="2:15" ht="15.75" x14ac:dyDescent="0.25">
      <c r="B11" s="58">
        <v>8</v>
      </c>
      <c r="C11" s="59" t="s">
        <v>49</v>
      </c>
      <c r="D11" s="59">
        <v>3</v>
      </c>
      <c r="E11" s="59">
        <v>2</v>
      </c>
      <c r="F11" s="59">
        <v>1</v>
      </c>
      <c r="G11" s="59">
        <v>16</v>
      </c>
      <c r="H11" s="59">
        <v>8</v>
      </c>
      <c r="I11" s="59">
        <v>365</v>
      </c>
      <c r="J11">
        <f t="shared" si="0"/>
        <v>8760</v>
      </c>
      <c r="K11">
        <v>361</v>
      </c>
      <c r="L11">
        <v>399</v>
      </c>
      <c r="M11" s="60">
        <f t="shared" si="1"/>
        <v>2108240</v>
      </c>
      <c r="N11" s="60">
        <f t="shared" si="2"/>
        <v>1165080</v>
      </c>
      <c r="O11" s="60">
        <f t="shared" si="3"/>
        <v>3273320</v>
      </c>
    </row>
    <row r="12" spans="2:15" ht="15.75" x14ac:dyDescent="0.25">
      <c r="B12" s="58">
        <v>9</v>
      </c>
      <c r="C12" s="59" t="s">
        <v>50</v>
      </c>
      <c r="D12" s="59"/>
      <c r="E12" s="59"/>
      <c r="F12" s="59">
        <v>1</v>
      </c>
      <c r="G12" s="59">
        <v>16</v>
      </c>
      <c r="H12" s="59">
        <v>8</v>
      </c>
      <c r="I12" s="59">
        <v>365</v>
      </c>
      <c r="J12">
        <f t="shared" si="0"/>
        <v>8760</v>
      </c>
      <c r="K12">
        <v>361</v>
      </c>
      <c r="L12">
        <v>399</v>
      </c>
      <c r="M12" s="60">
        <f t="shared" si="1"/>
        <v>2108240</v>
      </c>
      <c r="N12" s="60">
        <f t="shared" si="2"/>
        <v>1165080</v>
      </c>
      <c r="O12" s="60">
        <f t="shared" si="3"/>
        <v>3273320</v>
      </c>
    </row>
    <row r="13" spans="2:15" ht="15.75" x14ac:dyDescent="0.25">
      <c r="B13" s="58">
        <v>10</v>
      </c>
      <c r="C13" s="59" t="s">
        <v>51</v>
      </c>
      <c r="D13" s="59">
        <v>3</v>
      </c>
      <c r="E13" s="59">
        <v>3</v>
      </c>
      <c r="F13" s="59">
        <v>1</v>
      </c>
      <c r="G13" s="59">
        <v>16</v>
      </c>
      <c r="H13" s="59">
        <v>8</v>
      </c>
      <c r="I13" s="59">
        <v>365</v>
      </c>
      <c r="J13">
        <f t="shared" si="0"/>
        <v>8760</v>
      </c>
      <c r="K13">
        <v>361</v>
      </c>
      <c r="L13">
        <v>399</v>
      </c>
      <c r="M13" s="60">
        <f t="shared" si="1"/>
        <v>2108240</v>
      </c>
      <c r="N13" s="60">
        <f t="shared" si="2"/>
        <v>1165080</v>
      </c>
      <c r="O13" s="60">
        <f t="shared" si="3"/>
        <v>3273320</v>
      </c>
    </row>
    <row r="14" spans="2:15" ht="15.75" x14ac:dyDescent="0.25">
      <c r="B14" s="58">
        <v>11</v>
      </c>
      <c r="C14" s="59" t="s">
        <v>52</v>
      </c>
      <c r="D14" s="59"/>
      <c r="E14" s="59"/>
      <c r="F14" s="59">
        <v>1</v>
      </c>
      <c r="G14" s="59">
        <v>16</v>
      </c>
      <c r="H14" s="59">
        <v>8</v>
      </c>
      <c r="I14" s="59">
        <v>365</v>
      </c>
      <c r="J14">
        <f t="shared" si="0"/>
        <v>8760</v>
      </c>
      <c r="K14">
        <v>361</v>
      </c>
      <c r="L14">
        <v>399</v>
      </c>
      <c r="M14" s="60">
        <f t="shared" si="1"/>
        <v>2108240</v>
      </c>
      <c r="N14" s="60">
        <f t="shared" si="2"/>
        <v>1165080</v>
      </c>
      <c r="O14" s="60">
        <f t="shared" si="3"/>
        <v>3273320</v>
      </c>
    </row>
    <row r="15" spans="2:15" ht="15.75" x14ac:dyDescent="0.25">
      <c r="B15" s="58">
        <v>12</v>
      </c>
      <c r="C15" s="59" t="s">
        <v>52</v>
      </c>
      <c r="D15" s="59"/>
      <c r="E15" s="59"/>
      <c r="F15" s="59">
        <v>1</v>
      </c>
      <c r="G15" s="59">
        <v>0</v>
      </c>
      <c r="H15" s="59">
        <v>4</v>
      </c>
      <c r="I15" s="59">
        <v>365</v>
      </c>
      <c r="J15">
        <f>365*(G15+H15)</f>
        <v>1460</v>
      </c>
      <c r="K15">
        <v>361</v>
      </c>
      <c r="L15">
        <v>399</v>
      </c>
      <c r="M15" s="60">
        <f t="shared" si="1"/>
        <v>0</v>
      </c>
      <c r="N15" s="60">
        <f t="shared" si="2"/>
        <v>582540</v>
      </c>
      <c r="O15" s="60">
        <f t="shared" si="3"/>
        <v>582540</v>
      </c>
    </row>
    <row r="16" spans="2:15" ht="15.75" x14ac:dyDescent="0.25">
      <c r="B16" s="58">
        <v>13</v>
      </c>
      <c r="C16" s="59" t="s">
        <v>53</v>
      </c>
      <c r="D16" s="59">
        <v>2</v>
      </c>
      <c r="E16" s="59">
        <v>2</v>
      </c>
      <c r="F16" s="59">
        <v>1</v>
      </c>
      <c r="G16" s="59">
        <v>16</v>
      </c>
      <c r="H16" s="59">
        <v>8</v>
      </c>
      <c r="I16" s="59">
        <v>365</v>
      </c>
      <c r="J16">
        <f t="shared" si="0"/>
        <v>8760</v>
      </c>
      <c r="K16">
        <v>361</v>
      </c>
      <c r="L16">
        <v>399</v>
      </c>
      <c r="M16" s="60">
        <f t="shared" si="1"/>
        <v>2108240</v>
      </c>
      <c r="N16" s="60">
        <f t="shared" si="2"/>
        <v>1165080</v>
      </c>
      <c r="O16" s="60">
        <f t="shared" si="3"/>
        <v>3273320</v>
      </c>
    </row>
    <row r="17" spans="2:15" ht="15.75" x14ac:dyDescent="0.25">
      <c r="B17" s="58">
        <v>14</v>
      </c>
      <c r="C17" s="59" t="s">
        <v>54</v>
      </c>
      <c r="D17" s="59"/>
      <c r="E17" s="59"/>
      <c r="F17" s="59">
        <v>1</v>
      </c>
      <c r="G17" s="59">
        <v>16</v>
      </c>
      <c r="H17" s="59">
        <v>8</v>
      </c>
      <c r="I17" s="59">
        <v>365</v>
      </c>
      <c r="J17">
        <f t="shared" si="0"/>
        <v>8760</v>
      </c>
      <c r="K17">
        <v>361</v>
      </c>
      <c r="L17">
        <v>399</v>
      </c>
      <c r="M17" s="60">
        <f t="shared" si="1"/>
        <v>2108240</v>
      </c>
      <c r="N17" s="60">
        <f t="shared" si="2"/>
        <v>1165080</v>
      </c>
      <c r="O17" s="60">
        <f t="shared" si="3"/>
        <v>3273320</v>
      </c>
    </row>
    <row r="18" spans="2:15" x14ac:dyDescent="0.25">
      <c r="F18">
        <f>SUM(F4:F17)</f>
        <v>14</v>
      </c>
      <c r="J18" s="60">
        <f>SUM(J4:J17)</f>
        <v>108040</v>
      </c>
      <c r="M18" s="60">
        <f>SUM(M4:M17)</f>
        <v>25298880</v>
      </c>
      <c r="N18" s="60">
        <f>SUM(N4:N17)</f>
        <v>15146040</v>
      </c>
      <c r="O18" s="60">
        <f>SUM(O4:O17)</f>
        <v>40444920</v>
      </c>
    </row>
    <row r="19" spans="2:15" ht="15.75" x14ac:dyDescent="0.25">
      <c r="F19" s="61">
        <v>12</v>
      </c>
      <c r="J19" s="60">
        <f>J4+J5+J7+J8+J9+J10+J11+J12+J13+J14+J16+J17</f>
        <v>105120</v>
      </c>
      <c r="O19" s="60"/>
    </row>
    <row r="20" spans="2:15" ht="15.75" x14ac:dyDescent="0.25">
      <c r="F20" s="61">
        <v>2</v>
      </c>
      <c r="J20" s="60">
        <f>J6+J15</f>
        <v>2920</v>
      </c>
      <c r="O20" s="60"/>
    </row>
    <row r="21" spans="2:15" x14ac:dyDescent="0.25">
      <c r="J21" s="60">
        <f>J19+J20</f>
        <v>108040</v>
      </c>
    </row>
  </sheetData>
  <dataValidations count="4">
    <dataValidation type="whole" allowBlank="1" showInputMessage="1" showErrorMessage="1" sqref="G4:G17">
      <formula1>0</formula1>
      <formula2>16</formula2>
    </dataValidation>
    <dataValidation type="whole" allowBlank="1" showInputMessage="1" showErrorMessage="1" sqref="H4:H17">
      <formula1>0</formula1>
      <formula2>8</formula2>
    </dataValidation>
    <dataValidation type="whole" operator="greaterThan" allowBlank="1" showInputMessage="1" showErrorMessage="1" sqref="E4:F17">
      <formula1>0</formula1>
    </dataValidation>
    <dataValidation type="whole" allowBlank="1" showInputMessage="1" showErrorMessage="1" sqref="I4:I17">
      <formula1>0</formula1>
      <formula2>366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охр 1 норм</vt:lpstr>
      <vt:lpstr>охр_факт</vt:lpstr>
      <vt:lpstr>расч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Александровна Ополченцева</dc:creator>
  <cp:lastModifiedBy>Былина Дарья Вячеславовна</cp:lastModifiedBy>
  <dcterms:created xsi:type="dcterms:W3CDTF">2022-12-16T08:32:52Z</dcterms:created>
  <dcterms:modified xsi:type="dcterms:W3CDTF">2025-12-02T11:02:00Z</dcterms:modified>
</cp:coreProperties>
</file>